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CED Reports\DCED-2019\"/>
    </mc:Choice>
  </mc:AlternateContent>
  <bookViews>
    <workbookView xWindow="0" yWindow="120" windowWidth="23040" windowHeight="8955" tabRatio="976" activeTab="1"/>
  </bookViews>
  <sheets>
    <sheet name="ALL GOVERNMENT FUNDS" sheetId="1" r:id="rId1"/>
    <sheet name="Front Stmts" sheetId="2" r:id="rId2"/>
    <sheet name="Stmt of Activities - Front" sheetId="3" r:id="rId3"/>
    <sheet name="General Fund" sheetId="4" r:id="rId4"/>
    <sheet name="General Fund - Revenue" sheetId="5" r:id="rId5"/>
    <sheet name="Capital Projects Fund" sheetId="6" r:id="rId6"/>
    <sheet name="Human Services" sheetId="7" r:id="rId7"/>
    <sheet name="Other Government" sheetId="8" r:id="rId8"/>
    <sheet name="AAA Funds" sheetId="9" r:id="rId9"/>
    <sheet name="CYS Funds" sheetId="10" r:id="rId10"/>
    <sheet name="Substance Abuse" sheetId="11" r:id="rId11"/>
    <sheet name="Airport Funds" sheetId="12" r:id="rId12"/>
    <sheet name="RSVP Funds" sheetId="13" r:id="rId13"/>
    <sheet name="Mental Health Funds" sheetId="14" r:id="rId14"/>
    <sheet name="Mental Retardation Funds" sheetId="15" r:id="rId15"/>
    <sheet name="Human Services 1150" sheetId="16" r:id="rId16"/>
    <sheet name="CDBG" sheetId="17" r:id="rId17"/>
    <sheet name="OEO-Weatherization" sheetId="18" r:id="rId18"/>
    <sheet name="OEO-Other" sheetId="19" r:id="rId19"/>
    <sheet name="Transportation Fund" sheetId="20" r:id="rId20"/>
    <sheet name="Special Purpose " sheetId="21" r:id="rId21"/>
    <sheet name="911" sheetId="22" r:id="rId22"/>
    <sheet name="Park Prison Tax Claim" sheetId="23" state="hidden" r:id="rId23"/>
    <sheet name="Pension" sheetId="24" r:id="rId24"/>
  </sheets>
  <externalReferences>
    <externalReference r:id="rId25"/>
  </externalReferences>
  <definedNames>
    <definedName name="_xlnm.Print_Area" localSheetId="1">'Front Stmts'!$A$1:$W$105</definedName>
    <definedName name="_xlnm.Print_Titles" localSheetId="0">'ALL GOVERNMENT FUNDS'!$A:$A,'ALL GOVERNMENT FUNDS'!$6:$6</definedName>
    <definedName name="_xlnm.Print_Titles" localSheetId="7">'Other Government'!$A:$A</definedName>
    <definedName name="Z_2B2709E2_6DF4_4CC4_88D0_056FB306137C_.wvu.PrintTitles" localSheetId="7" hidden="1">'Other Government'!$A:$A</definedName>
    <definedName name="Z_A6F79E61_D6A3_44FD_B4A4_4724DF74349B_.wvu.PrintArea" localSheetId="4" hidden="1">'General Fund - Revenue'!$A$1:$S$81</definedName>
    <definedName name="Z_A6F79E61_D6A3_44FD_B4A4_4724DF74349B_.wvu.PrintTitles" localSheetId="4" hidden="1">'General Fund - Revenue'!$A:$B</definedName>
    <definedName name="Z_A6F79E61_D6A3_44FD_B4A4_4724DF74349B_.wvu.PrintTitles" localSheetId="7" hidden="1">'Other Government'!$A:$A</definedName>
    <definedName name="Z_DE6E911D_85BF_467A_AA00_1E84C5349CF7_.wvu.Cols" localSheetId="9" hidden="1">'CYS Funds'!$E:$G</definedName>
    <definedName name="Z_DE6E911D_85BF_467A_AA00_1E84C5349CF7_.wvu.Cols" localSheetId="18" hidden="1">'OEO-Other'!$B:$C</definedName>
    <definedName name="Z_DE6E911D_85BF_467A_AA00_1E84C5349CF7_.wvu.PrintTitles" localSheetId="7" hidden="1">'Other Government'!$A:$A</definedName>
    <definedName name="Z_E68B3865_8D72_47E7_BE32_0FF7EB09E889_.wvu.Cols" localSheetId="9" hidden="1">'CYS Funds'!$E:$G</definedName>
    <definedName name="Z_E68B3865_8D72_47E7_BE32_0FF7EB09E889_.wvu.Cols" localSheetId="18" hidden="1">'OEO-Other'!$B:$C</definedName>
    <definedName name="Z_E68B3865_8D72_47E7_BE32_0FF7EB09E889_.wvu.PrintArea" localSheetId="1" hidden="1">'Front Stmts'!$A$1:$W$105</definedName>
    <definedName name="Z_E68B3865_8D72_47E7_BE32_0FF7EB09E889_.wvu.PrintTitles" localSheetId="0" hidden="1">'ALL GOVERNMENT FUNDS'!$A:$A,'ALL GOVERNMENT FUNDS'!$6:$6</definedName>
    <definedName name="Z_E68B3865_8D72_47E7_BE32_0FF7EB09E889_.wvu.PrintTitles" localSheetId="7" hidden="1">'Other Government'!$A:$A</definedName>
    <definedName name="Z_EC03C3C8_7E57_47C6_8413_F484E8C46A0C_.wvu.PrintTitles" localSheetId="7" hidden="1">'Other Government'!$A:$A</definedName>
  </definedNames>
  <calcPr calcId="162913"/>
  <customWorkbookViews>
    <customWorkbookView name="Heather Mohnkern - Personal View" guid="{E68B3865-8D72-47E7-BE32-0FF7EB09E889}" mergeInterval="0" personalView="1" maximized="1" xWindow="1912" yWindow="-8" windowWidth="1936" windowHeight="1056" tabRatio="976" activeSheetId="2"/>
    <customWorkbookView name="Terri McFadden - Personal View" guid="{DE6E911D-85BF-467A-AA00-1E84C5349CF7}" mergeInterval="0" personalView="1" maximized="1" xWindow="-8" yWindow="-8" windowWidth="1936" windowHeight="1056" tabRatio="797" activeSheetId="5"/>
    <customWorkbookView name="hmohnkern - Personal View" guid="{A6F79E61-D6A3-44FD-B4A4-4724DF74349B}" mergeInterval="0" personalView="1" maximized="1" xWindow="1" yWindow="1" windowWidth="1916" windowHeight="829" tabRatio="797" activeSheetId="10"/>
    <customWorkbookView name="tmcfadden - Personal View" guid="{D62C3EC3-27D1-41F3-9A4E-06307CA202CE}" mergeInterval="0" personalView="1" maximized="1" windowWidth="1020" windowHeight="596" activeSheetId="5"/>
    <customWorkbookView name="McFadden - Personal View" guid="{EC03C3C8-7E57-47C6-8413-F484E8C46A0C}" mergeInterval="0" personalView="1" maximized="1" xWindow="1" yWindow="1" windowWidth="1362" windowHeight="538" tabRatio="797" activeSheetId="5"/>
    <customWorkbookView name="Jamie L. Weaver - Personal View" guid="{2B2709E2-6DF4-4CC4-88D0-056FB306137C}" mergeInterval="0" personalView="1" maximized="1" windowWidth="1916" windowHeight="815" tabRatio="797" activeSheetId="5"/>
  </customWorkbookViews>
</workbook>
</file>

<file path=xl/calcChain.xml><?xml version="1.0" encoding="utf-8"?>
<calcChain xmlns="http://schemas.openxmlformats.org/spreadsheetml/2006/main">
  <c r="C42" i="3" l="1"/>
  <c r="C106" i="3"/>
  <c r="H159" i="3"/>
  <c r="D67" i="3"/>
  <c r="D66" i="3"/>
  <c r="Q11" i="2"/>
  <c r="R41" i="2"/>
  <c r="R9" i="2"/>
  <c r="R10" i="2"/>
  <c r="R11" i="2"/>
  <c r="R12" i="2"/>
  <c r="R13" i="2"/>
  <c r="R14" i="2"/>
  <c r="R15" i="2"/>
  <c r="S25" i="2" s="1"/>
  <c r="R16" i="2"/>
  <c r="R17" i="2"/>
  <c r="R18" i="2"/>
  <c r="R19" i="2"/>
  <c r="R20" i="2"/>
  <c r="R21" i="2"/>
  <c r="R22" i="2"/>
  <c r="R23" i="2"/>
  <c r="R24" i="2"/>
  <c r="Q14" i="2"/>
  <c r="Q67" i="2"/>
  <c r="G65" i="2" l="1"/>
  <c r="C57" i="1" l="1"/>
  <c r="V8" i="1"/>
  <c r="N71" i="1"/>
  <c r="L84" i="1"/>
  <c r="M84" i="1"/>
  <c r="K84" i="1"/>
  <c r="M92" i="1"/>
  <c r="AA60" i="5"/>
  <c r="AG39" i="5"/>
  <c r="E82" i="4"/>
  <c r="E78" i="1"/>
  <c r="E65" i="1"/>
  <c r="E26" i="1"/>
  <c r="E57" i="1"/>
  <c r="AF71" i="8"/>
  <c r="B33" i="16" l="1"/>
  <c r="E33" i="14"/>
  <c r="N89" i="2" l="1"/>
  <c r="N87" i="2"/>
  <c r="N86" i="2"/>
  <c r="N85" i="2"/>
  <c r="N83" i="2"/>
  <c r="N18" i="2" l="1"/>
  <c r="N19" i="2"/>
  <c r="N17" i="2"/>
  <c r="B10" i="11" l="1"/>
  <c r="N60" i="5" l="1"/>
  <c r="P60" i="5"/>
  <c r="P24" i="5"/>
  <c r="P55" i="5"/>
  <c r="M55" i="5"/>
  <c r="P43" i="5"/>
  <c r="N37" i="5"/>
  <c r="M37" i="5"/>
  <c r="N39" i="5"/>
  <c r="M39" i="5"/>
  <c r="N30" i="5"/>
  <c r="M30" i="5"/>
  <c r="M24" i="5"/>
  <c r="M56" i="5"/>
  <c r="E66" i="1" l="1"/>
  <c r="B53" i="6"/>
  <c r="G44" i="8"/>
  <c r="V12" i="8"/>
  <c r="AF51" i="8"/>
  <c r="AE11" i="8"/>
  <c r="E12" i="20"/>
  <c r="E9" i="20"/>
  <c r="V12" i="19"/>
  <c r="G12" i="19"/>
  <c r="D12" i="19"/>
  <c r="P9" i="19"/>
  <c r="B9" i="18"/>
  <c r="B12" i="18"/>
  <c r="S12" i="8"/>
  <c r="S9" i="8"/>
  <c r="E9" i="17"/>
  <c r="B10" i="17"/>
  <c r="L52" i="8" l="1"/>
  <c r="L53" i="8"/>
  <c r="C52" i="8"/>
  <c r="C53" i="8"/>
  <c r="B51" i="8"/>
  <c r="B52" i="8"/>
  <c r="AI34" i="8"/>
  <c r="F45" i="1" s="1"/>
  <c r="G45" i="1" s="1"/>
  <c r="AI37" i="8"/>
  <c r="F48" i="1" s="1"/>
  <c r="G48" i="1" s="1"/>
  <c r="F40" i="1"/>
  <c r="G40" i="1" s="1"/>
  <c r="AI29" i="8"/>
  <c r="C27" i="10"/>
  <c r="I13" i="14"/>
  <c r="C13" i="14"/>
  <c r="C49" i="24" l="1"/>
  <c r="B49" i="24"/>
  <c r="D49" i="24" s="1"/>
  <c r="D48" i="24"/>
  <c r="D47" i="24"/>
  <c r="D46" i="24"/>
  <c r="D42" i="24"/>
  <c r="C42" i="24"/>
  <c r="B42" i="24"/>
  <c r="D41" i="24"/>
  <c r="D40" i="24"/>
  <c r="D37" i="24"/>
  <c r="C37" i="24"/>
  <c r="B37" i="24"/>
  <c r="B44" i="24" s="1"/>
  <c r="B51" i="24" s="1"/>
  <c r="D36" i="24"/>
  <c r="D35" i="24"/>
  <c r="D34" i="24"/>
  <c r="D33" i="24"/>
  <c r="D32" i="24"/>
  <c r="D31" i="24"/>
  <c r="D30" i="24"/>
  <c r="D29" i="24"/>
  <c r="C24" i="24"/>
  <c r="C53" i="24" s="1"/>
  <c r="B24" i="24"/>
  <c r="D23" i="24"/>
  <c r="D22" i="24"/>
  <c r="D21" i="24"/>
  <c r="D18" i="24"/>
  <c r="C18" i="24"/>
  <c r="C26" i="24" s="1"/>
  <c r="B18" i="24"/>
  <c r="D17" i="24"/>
  <c r="D16" i="24"/>
  <c r="D15" i="24"/>
  <c r="D14" i="24"/>
  <c r="C11" i="24"/>
  <c r="C27" i="24" s="1"/>
  <c r="B11" i="24"/>
  <c r="D10" i="24"/>
  <c r="D9" i="24"/>
  <c r="D8" i="24"/>
  <c r="D7" i="24"/>
  <c r="D6" i="24"/>
  <c r="A49" i="23"/>
  <c r="A48" i="23"/>
  <c r="C45" i="23"/>
  <c r="B45" i="23"/>
  <c r="A45" i="23"/>
  <c r="B40" i="23"/>
  <c r="A40" i="23"/>
  <c r="A47" i="23" s="1"/>
  <c r="C38" i="23"/>
  <c r="B38" i="23"/>
  <c r="A38" i="23"/>
  <c r="C30" i="23"/>
  <c r="C40" i="23" s="1"/>
  <c r="C47" i="23" s="1"/>
  <c r="B30" i="23"/>
  <c r="A30" i="23"/>
  <c r="C23" i="23"/>
  <c r="C21" i="23"/>
  <c r="C49" i="23" s="1"/>
  <c r="C48" i="23" s="1"/>
  <c r="B21" i="23"/>
  <c r="A21" i="23"/>
  <c r="C15" i="23"/>
  <c r="B15" i="23"/>
  <c r="A15" i="23"/>
  <c r="A23" i="23" s="1"/>
  <c r="C8" i="23"/>
  <c r="B8" i="23"/>
  <c r="A8" i="23"/>
  <c r="C70" i="22"/>
  <c r="G66" i="22"/>
  <c r="F66" i="22"/>
  <c r="E66" i="22"/>
  <c r="C66" i="22"/>
  <c r="B66" i="22"/>
  <c r="D66" i="22" s="1"/>
  <c r="H66" i="22" s="1"/>
  <c r="AH72" i="8" s="1"/>
  <c r="G65" i="22"/>
  <c r="D65" i="22"/>
  <c r="H65" i="22" s="1"/>
  <c r="H64" i="22"/>
  <c r="G64" i="22"/>
  <c r="D64" i="22"/>
  <c r="G63" i="22"/>
  <c r="H63" i="22" s="1"/>
  <c r="D63" i="22"/>
  <c r="G59" i="22"/>
  <c r="F59" i="22"/>
  <c r="E59" i="22"/>
  <c r="C59" i="22"/>
  <c r="C61" i="22" s="1"/>
  <c r="C68" i="22" s="1"/>
  <c r="B59" i="22"/>
  <c r="D59" i="22" s="1"/>
  <c r="H59" i="22" s="1"/>
  <c r="G58" i="22"/>
  <c r="D58" i="22"/>
  <c r="H58" i="22" s="1"/>
  <c r="H57" i="22"/>
  <c r="G57" i="22"/>
  <c r="D57" i="22"/>
  <c r="G56" i="22"/>
  <c r="H56" i="22" s="1"/>
  <c r="D56" i="22"/>
  <c r="G55" i="22"/>
  <c r="D55" i="22"/>
  <c r="G54" i="22"/>
  <c r="D54" i="22"/>
  <c r="H54" i="22" s="1"/>
  <c r="H53" i="22"/>
  <c r="G53" i="22"/>
  <c r="D53" i="22"/>
  <c r="F50" i="22"/>
  <c r="F61" i="22" s="1"/>
  <c r="F68" i="22" s="1"/>
  <c r="E50" i="22"/>
  <c r="G50" i="22" s="1"/>
  <c r="C50" i="22"/>
  <c r="B50" i="22"/>
  <c r="H49" i="22"/>
  <c r="G49" i="22"/>
  <c r="D49" i="22"/>
  <c r="G48" i="22"/>
  <c r="H48" i="22" s="1"/>
  <c r="D48" i="22"/>
  <c r="G47" i="22"/>
  <c r="D47" i="22"/>
  <c r="G46" i="22"/>
  <c r="H46" i="22" s="1"/>
  <c r="AH51" i="8" s="1"/>
  <c r="AH167" i="3" s="1"/>
  <c r="D46" i="22"/>
  <c r="C43" i="22"/>
  <c r="F41" i="22"/>
  <c r="F70" i="22" s="1"/>
  <c r="E41" i="22"/>
  <c r="C41" i="22"/>
  <c r="B41" i="22"/>
  <c r="H40" i="22"/>
  <c r="G40" i="22"/>
  <c r="D40" i="22"/>
  <c r="H39" i="22"/>
  <c r="G39" i="22"/>
  <c r="D39" i="22"/>
  <c r="G38" i="22"/>
  <c r="D38" i="22"/>
  <c r="G37" i="22"/>
  <c r="D37" i="22"/>
  <c r="H37" i="22" s="1"/>
  <c r="H36" i="22"/>
  <c r="G36" i="22"/>
  <c r="D36" i="22"/>
  <c r="G35" i="22"/>
  <c r="H35" i="22" s="1"/>
  <c r="D35" i="22"/>
  <c r="G34" i="22"/>
  <c r="D34" i="22"/>
  <c r="H34" i="22" s="1"/>
  <c r="G33" i="22"/>
  <c r="D33" i="22"/>
  <c r="H33" i="22" s="1"/>
  <c r="H32" i="22"/>
  <c r="G32" i="22"/>
  <c r="D32" i="22"/>
  <c r="H31" i="22"/>
  <c r="G31" i="22"/>
  <c r="D31" i="22"/>
  <c r="G30" i="22"/>
  <c r="D30" i="22"/>
  <c r="H30" i="22" s="1"/>
  <c r="G29" i="22"/>
  <c r="D29" i="22"/>
  <c r="H29" i="22" s="1"/>
  <c r="H28" i="22"/>
  <c r="G28" i="22"/>
  <c r="D28" i="22"/>
  <c r="G27" i="22"/>
  <c r="H27" i="22" s="1"/>
  <c r="D27" i="22"/>
  <c r="G26" i="22"/>
  <c r="D26" i="22"/>
  <c r="H26" i="22" s="1"/>
  <c r="G25" i="22"/>
  <c r="D25" i="22"/>
  <c r="H25" i="22" s="1"/>
  <c r="H24" i="22"/>
  <c r="G24" i="22"/>
  <c r="D24" i="22"/>
  <c r="H23" i="22"/>
  <c r="G23" i="22"/>
  <c r="D23" i="22"/>
  <c r="F20" i="22"/>
  <c r="E20" i="22"/>
  <c r="C20" i="22"/>
  <c r="B20" i="22"/>
  <c r="B43" i="22" s="1"/>
  <c r="G19" i="22"/>
  <c r="D19" i="22"/>
  <c r="H19" i="22" s="1"/>
  <c r="H18" i="22"/>
  <c r="G18" i="22"/>
  <c r="D18" i="22"/>
  <c r="G17" i="22"/>
  <c r="H17" i="22" s="1"/>
  <c r="D17" i="22"/>
  <c r="G16" i="22"/>
  <c r="D16" i="22"/>
  <c r="F13" i="22"/>
  <c r="E13" i="22"/>
  <c r="G13" i="22" s="1"/>
  <c r="C13" i="22"/>
  <c r="B13" i="22"/>
  <c r="D13" i="22" s="1"/>
  <c r="H12" i="22"/>
  <c r="G12" i="22"/>
  <c r="D12" i="22"/>
  <c r="G11" i="22"/>
  <c r="H11" i="22" s="1"/>
  <c r="D11" i="22"/>
  <c r="G10" i="22"/>
  <c r="D10" i="22"/>
  <c r="G9" i="22"/>
  <c r="D9" i="22"/>
  <c r="H9" i="22" s="1"/>
  <c r="H8" i="22"/>
  <c r="G8" i="22"/>
  <c r="D8" i="22"/>
  <c r="E70" i="21"/>
  <c r="D70" i="21"/>
  <c r="D68" i="21"/>
  <c r="D66" i="21"/>
  <c r="E66" i="21" s="1"/>
  <c r="C66" i="21"/>
  <c r="B66" i="21"/>
  <c r="E65" i="21"/>
  <c r="E64" i="21"/>
  <c r="E63" i="21"/>
  <c r="D61" i="21"/>
  <c r="D59" i="21"/>
  <c r="C59" i="21"/>
  <c r="C61" i="21" s="1"/>
  <c r="C68" i="21" s="1"/>
  <c r="B59" i="21"/>
  <c r="E58" i="21"/>
  <c r="E57" i="21"/>
  <c r="E56" i="21"/>
  <c r="E55" i="21"/>
  <c r="E54" i="21"/>
  <c r="E53" i="21"/>
  <c r="E50" i="21"/>
  <c r="D50" i="21"/>
  <c r="C50" i="21"/>
  <c r="B50" i="21"/>
  <c r="B61" i="21" s="1"/>
  <c r="E49" i="21"/>
  <c r="E48" i="21"/>
  <c r="E47" i="21"/>
  <c r="E46" i="21"/>
  <c r="E41" i="21"/>
  <c r="D41" i="21"/>
  <c r="C41" i="21"/>
  <c r="C70" i="21" s="1"/>
  <c r="B41" i="21"/>
  <c r="B70" i="21" s="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D20" i="21"/>
  <c r="D43" i="21" s="1"/>
  <c r="C20" i="21"/>
  <c r="C43" i="21" s="1"/>
  <c r="B20" i="21"/>
  <c r="E20" i="21" s="1"/>
  <c r="E19" i="21"/>
  <c r="E18" i="21"/>
  <c r="E17" i="21"/>
  <c r="E16" i="21"/>
  <c r="D13" i="21"/>
  <c r="D44" i="21" s="1"/>
  <c r="C13" i="21"/>
  <c r="B13" i="21"/>
  <c r="E12" i="21"/>
  <c r="E11" i="21"/>
  <c r="E10" i="21"/>
  <c r="E9" i="21"/>
  <c r="E8" i="21"/>
  <c r="T72" i="20"/>
  <c r="I70" i="20"/>
  <c r="X68" i="20"/>
  <c r="X70" i="20" s="1"/>
  <c r="V68" i="20"/>
  <c r="U68" i="20"/>
  <c r="T68" i="20"/>
  <c r="S68" i="20"/>
  <c r="R68" i="20"/>
  <c r="Q68" i="20"/>
  <c r="P68" i="20"/>
  <c r="O68" i="20"/>
  <c r="L68" i="20"/>
  <c r="K68" i="20"/>
  <c r="I68" i="20"/>
  <c r="H68" i="20"/>
  <c r="J68" i="20" s="1"/>
  <c r="F68" i="20"/>
  <c r="E68" i="20"/>
  <c r="G68" i="20" s="1"/>
  <c r="C68" i="20"/>
  <c r="B68" i="20"/>
  <c r="W67" i="20"/>
  <c r="T67" i="20"/>
  <c r="Q67" i="20"/>
  <c r="M67" i="20"/>
  <c r="J67" i="20"/>
  <c r="G67" i="20"/>
  <c r="D67" i="20"/>
  <c r="N67" i="20" s="1"/>
  <c r="Y67" i="20" s="1"/>
  <c r="W66" i="20"/>
  <c r="W68" i="20" s="1"/>
  <c r="T66" i="20"/>
  <c r="Q66" i="20"/>
  <c r="M66" i="20"/>
  <c r="J66" i="20"/>
  <c r="G66" i="20"/>
  <c r="D66" i="20"/>
  <c r="W65" i="20"/>
  <c r="T65" i="20"/>
  <c r="Q65" i="20"/>
  <c r="M65" i="20"/>
  <c r="J65" i="20"/>
  <c r="G65" i="20"/>
  <c r="D65" i="20"/>
  <c r="S63" i="20"/>
  <c r="S70" i="20" s="1"/>
  <c r="R63" i="20"/>
  <c r="R70" i="20" s="1"/>
  <c r="K63" i="20"/>
  <c r="K70" i="20" s="1"/>
  <c r="C63" i="20"/>
  <c r="C70" i="20" s="1"/>
  <c r="X61" i="20"/>
  <c r="V61" i="20"/>
  <c r="V63" i="20" s="1"/>
  <c r="V70" i="20" s="1"/>
  <c r="U61" i="20"/>
  <c r="S61" i="20"/>
  <c r="R61" i="20"/>
  <c r="P61" i="20"/>
  <c r="O61" i="20"/>
  <c r="O63" i="20" s="1"/>
  <c r="O70" i="20" s="1"/>
  <c r="L61" i="20"/>
  <c r="K61" i="20"/>
  <c r="I61" i="20"/>
  <c r="H61" i="20"/>
  <c r="G61" i="20"/>
  <c r="F61" i="20"/>
  <c r="F63" i="20" s="1"/>
  <c r="F70" i="20" s="1"/>
  <c r="E61" i="20"/>
  <c r="C61" i="20"/>
  <c r="B61" i="20"/>
  <c r="B63" i="20" s="1"/>
  <c r="B70" i="20" s="1"/>
  <c r="W60" i="20"/>
  <c r="T60" i="20"/>
  <c r="Q60" i="20"/>
  <c r="M60" i="20"/>
  <c r="J60" i="20"/>
  <c r="G60" i="20"/>
  <c r="D60" i="20"/>
  <c r="W59" i="20"/>
  <c r="T59" i="20"/>
  <c r="Q59" i="20"/>
  <c r="M59" i="20"/>
  <c r="J59" i="20"/>
  <c r="G59" i="20"/>
  <c r="D59" i="20"/>
  <c r="W58" i="20"/>
  <c r="T58" i="20"/>
  <c r="Q58" i="20"/>
  <c r="M58" i="20"/>
  <c r="J58" i="20"/>
  <c r="G58" i="20"/>
  <c r="D58" i="20"/>
  <c r="W57" i="20"/>
  <c r="T57" i="20"/>
  <c r="Q57" i="20"/>
  <c r="M57" i="20"/>
  <c r="J57" i="20"/>
  <c r="G57" i="20"/>
  <c r="D57" i="20"/>
  <c r="N57" i="20" s="1"/>
  <c r="Y57" i="20" s="1"/>
  <c r="W56" i="20"/>
  <c r="T56" i="20"/>
  <c r="Q56" i="20"/>
  <c r="M56" i="20"/>
  <c r="J56" i="20"/>
  <c r="G56" i="20"/>
  <c r="D56" i="20"/>
  <c r="W55" i="20"/>
  <c r="T55" i="20"/>
  <c r="T61" i="20" s="1"/>
  <c r="Q55" i="20"/>
  <c r="M55" i="20"/>
  <c r="J55" i="20"/>
  <c r="G55" i="20"/>
  <c r="D55" i="20"/>
  <c r="X52" i="20"/>
  <c r="V52" i="20"/>
  <c r="U52" i="20"/>
  <c r="U63" i="20" s="1"/>
  <c r="S52" i="20"/>
  <c r="R52" i="20"/>
  <c r="P52" i="20"/>
  <c r="P63" i="20" s="1"/>
  <c r="P70" i="20" s="1"/>
  <c r="O52" i="20"/>
  <c r="M52" i="20"/>
  <c r="L52" i="20"/>
  <c r="L63" i="20" s="1"/>
  <c r="K52" i="20"/>
  <c r="I52" i="20"/>
  <c r="I63" i="20" s="1"/>
  <c r="H52" i="20"/>
  <c r="F52" i="20"/>
  <c r="E52" i="20"/>
  <c r="E63" i="20" s="1"/>
  <c r="D52" i="20"/>
  <c r="C52" i="20"/>
  <c r="B52" i="20"/>
  <c r="W51" i="20"/>
  <c r="T51" i="20"/>
  <c r="Q51" i="20"/>
  <c r="M51" i="20"/>
  <c r="J51" i="20"/>
  <c r="G51" i="20"/>
  <c r="D51" i="20"/>
  <c r="N51" i="20" s="1"/>
  <c r="Y51" i="20" s="1"/>
  <c r="W50" i="20"/>
  <c r="T50" i="20"/>
  <c r="Q50" i="20"/>
  <c r="M50" i="20"/>
  <c r="J50" i="20"/>
  <c r="G50" i="20"/>
  <c r="D50" i="20"/>
  <c r="N50" i="20" s="1"/>
  <c r="Y50" i="20" s="1"/>
  <c r="W49" i="20"/>
  <c r="T49" i="20"/>
  <c r="Q49" i="20"/>
  <c r="Q52" i="20" s="1"/>
  <c r="M49" i="20"/>
  <c r="J49" i="20"/>
  <c r="G49" i="20"/>
  <c r="D49" i="20"/>
  <c r="W48" i="20"/>
  <c r="T48" i="20"/>
  <c r="T52" i="20" s="1"/>
  <c r="Q48" i="20"/>
  <c r="M48" i="20"/>
  <c r="J48" i="20"/>
  <c r="G48" i="20"/>
  <c r="D48" i="20"/>
  <c r="W47" i="20"/>
  <c r="W52" i="20" s="1"/>
  <c r="T47" i="20"/>
  <c r="Q47" i="20"/>
  <c r="M47" i="20"/>
  <c r="J47" i="20"/>
  <c r="G47" i="20"/>
  <c r="D47" i="20"/>
  <c r="F45" i="20"/>
  <c r="B45" i="20"/>
  <c r="R44" i="20"/>
  <c r="K44" i="20"/>
  <c r="C44" i="20"/>
  <c r="Y43" i="20"/>
  <c r="X42" i="20"/>
  <c r="X72" i="20" s="1"/>
  <c r="V42" i="20"/>
  <c r="V72" i="20" s="1"/>
  <c r="U42" i="20"/>
  <c r="T42" i="20"/>
  <c r="S42" i="20"/>
  <c r="S72" i="20" s="1"/>
  <c r="R42" i="20"/>
  <c r="R72" i="20" s="1"/>
  <c r="P42" i="20"/>
  <c r="P72" i="20" s="1"/>
  <c r="P71" i="20" s="1"/>
  <c r="O42" i="20"/>
  <c r="O72" i="20" s="1"/>
  <c r="M42" i="20"/>
  <c r="M72" i="20" s="1"/>
  <c r="L42" i="20"/>
  <c r="L72" i="20" s="1"/>
  <c r="K42" i="20"/>
  <c r="K72" i="20" s="1"/>
  <c r="I42" i="20"/>
  <c r="I72" i="20" s="1"/>
  <c r="I71" i="20" s="1"/>
  <c r="H42" i="20"/>
  <c r="F42" i="20"/>
  <c r="F72" i="20" s="1"/>
  <c r="E42" i="20"/>
  <c r="E72" i="20" s="1"/>
  <c r="C42" i="20"/>
  <c r="C72" i="20" s="1"/>
  <c r="B42" i="20"/>
  <c r="B72" i="20" s="1"/>
  <c r="W41" i="20"/>
  <c r="T41" i="20"/>
  <c r="Q41" i="20"/>
  <c r="M41" i="20"/>
  <c r="J41" i="20"/>
  <c r="G41" i="20"/>
  <c r="D41" i="20"/>
  <c r="W40" i="20"/>
  <c r="T40" i="20"/>
  <c r="Q40" i="20"/>
  <c r="M40" i="20"/>
  <c r="J40" i="20"/>
  <c r="G40" i="20"/>
  <c r="D40" i="20"/>
  <c r="N40" i="20" s="1"/>
  <c r="Y40" i="20" s="1"/>
  <c r="AA44" i="8" s="1"/>
  <c r="W39" i="20"/>
  <c r="T39" i="20"/>
  <c r="Q39" i="20"/>
  <c r="M39" i="20"/>
  <c r="J39" i="20"/>
  <c r="G39" i="20"/>
  <c r="D39" i="20"/>
  <c r="W38" i="20"/>
  <c r="T38" i="20"/>
  <c r="Q38" i="20"/>
  <c r="M38" i="20"/>
  <c r="J38" i="20"/>
  <c r="G38" i="20"/>
  <c r="D38" i="20"/>
  <c r="W37" i="20"/>
  <c r="T37" i="20"/>
  <c r="Q37" i="20"/>
  <c r="M37" i="20"/>
  <c r="J37" i="20"/>
  <c r="G37" i="20"/>
  <c r="D37" i="20"/>
  <c r="N37" i="20" s="1"/>
  <c r="Y37" i="20" s="1"/>
  <c r="W36" i="20"/>
  <c r="T36" i="20"/>
  <c r="Q36" i="20"/>
  <c r="M36" i="20"/>
  <c r="J36" i="20"/>
  <c r="G36" i="20"/>
  <c r="D36" i="20"/>
  <c r="N36" i="20" s="1"/>
  <c r="Y36" i="20" s="1"/>
  <c r="AA40" i="8" s="1"/>
  <c r="W35" i="20"/>
  <c r="T35" i="20"/>
  <c r="Q35" i="20"/>
  <c r="M35" i="20"/>
  <c r="J35" i="20"/>
  <c r="G35" i="20"/>
  <c r="D35" i="20"/>
  <c r="W34" i="20"/>
  <c r="T34" i="20"/>
  <c r="Q34" i="20"/>
  <c r="M34" i="20"/>
  <c r="J34" i="20"/>
  <c r="G34" i="20"/>
  <c r="D34" i="20"/>
  <c r="W33" i="20"/>
  <c r="T33" i="20"/>
  <c r="Q33" i="20"/>
  <c r="M33" i="20"/>
  <c r="J33" i="20"/>
  <c r="G33" i="20"/>
  <c r="D33" i="20"/>
  <c r="W32" i="20"/>
  <c r="T32" i="20"/>
  <c r="Q32" i="20"/>
  <c r="M32" i="20"/>
  <c r="J32" i="20"/>
  <c r="G32" i="20"/>
  <c r="D32" i="20"/>
  <c r="N32" i="20" s="1"/>
  <c r="Y32" i="20" s="1"/>
  <c r="W31" i="20"/>
  <c r="T31" i="20"/>
  <c r="Q31" i="20"/>
  <c r="M31" i="20"/>
  <c r="J31" i="20"/>
  <c r="G31" i="20"/>
  <c r="D31" i="20"/>
  <c r="W30" i="20"/>
  <c r="T30" i="20"/>
  <c r="Q30" i="20"/>
  <c r="M30" i="20"/>
  <c r="J30" i="20"/>
  <c r="G30" i="20"/>
  <c r="D30" i="20"/>
  <c r="W29" i="20"/>
  <c r="T29" i="20"/>
  <c r="Q29" i="20"/>
  <c r="M29" i="20"/>
  <c r="J29" i="20"/>
  <c r="G29" i="20"/>
  <c r="D29" i="20"/>
  <c r="N29" i="20" s="1"/>
  <c r="Y29" i="20" s="1"/>
  <c r="W28" i="20"/>
  <c r="T28" i="20"/>
  <c r="Q28" i="20"/>
  <c r="M28" i="20"/>
  <c r="J28" i="20"/>
  <c r="G28" i="20"/>
  <c r="D28" i="20"/>
  <c r="N28" i="20" s="1"/>
  <c r="Y28" i="20" s="1"/>
  <c r="AA28" i="8" s="1"/>
  <c r="W27" i="20"/>
  <c r="T27" i="20"/>
  <c r="Q27" i="20"/>
  <c r="M27" i="20"/>
  <c r="J27" i="20"/>
  <c r="G27" i="20"/>
  <c r="D27" i="20"/>
  <c r="W26" i="20"/>
  <c r="T26" i="20"/>
  <c r="Q26" i="20"/>
  <c r="M26" i="20"/>
  <c r="J26" i="20"/>
  <c r="G26" i="20"/>
  <c r="D26" i="20"/>
  <c r="W25" i="20"/>
  <c r="T25" i="20"/>
  <c r="Q25" i="20"/>
  <c r="M25" i="20"/>
  <c r="J25" i="20"/>
  <c r="G25" i="20"/>
  <c r="D25" i="20"/>
  <c r="W24" i="20"/>
  <c r="T24" i="20"/>
  <c r="Q24" i="20"/>
  <c r="M24" i="20"/>
  <c r="J24" i="20"/>
  <c r="G24" i="20"/>
  <c r="G42" i="20" s="1"/>
  <c r="G72" i="20" s="1"/>
  <c r="D24" i="20"/>
  <c r="D42" i="20" s="1"/>
  <c r="X21" i="20"/>
  <c r="V21" i="20"/>
  <c r="V44" i="20" s="1"/>
  <c r="U21" i="20"/>
  <c r="S21" i="20"/>
  <c r="S44" i="20" s="1"/>
  <c r="R21" i="20"/>
  <c r="P21" i="20"/>
  <c r="O21" i="20"/>
  <c r="O44" i="20" s="1"/>
  <c r="L21" i="20"/>
  <c r="K21" i="20"/>
  <c r="J21" i="20"/>
  <c r="I21" i="20"/>
  <c r="I44" i="20" s="1"/>
  <c r="H21" i="20"/>
  <c r="F21" i="20"/>
  <c r="F44" i="20" s="1"/>
  <c r="E21" i="20"/>
  <c r="E44" i="20" s="1"/>
  <c r="C21" i="20"/>
  <c r="B21" i="20"/>
  <c r="B44" i="20" s="1"/>
  <c r="W20" i="20"/>
  <c r="T20" i="20"/>
  <c r="Q20" i="20"/>
  <c r="M20" i="20"/>
  <c r="J20" i="20"/>
  <c r="G20" i="20"/>
  <c r="D20" i="20"/>
  <c r="W19" i="20"/>
  <c r="T19" i="20"/>
  <c r="Q19" i="20"/>
  <c r="M19" i="20"/>
  <c r="J19" i="20"/>
  <c r="G19" i="20"/>
  <c r="D19" i="20"/>
  <c r="N19" i="20" s="1"/>
  <c r="Y19" i="20" s="1"/>
  <c r="W18" i="20"/>
  <c r="W21" i="20" s="1"/>
  <c r="T18" i="20"/>
  <c r="Q18" i="20"/>
  <c r="M18" i="20"/>
  <c r="J18" i="20"/>
  <c r="G18" i="20"/>
  <c r="D18" i="20"/>
  <c r="N18" i="20" s="1"/>
  <c r="Y18" i="20" s="1"/>
  <c r="W17" i="20"/>
  <c r="T17" i="20"/>
  <c r="Q17" i="20"/>
  <c r="M17" i="20"/>
  <c r="J17" i="20"/>
  <c r="G17" i="20"/>
  <c r="D17" i="20"/>
  <c r="N17" i="20" s="1"/>
  <c r="Y17" i="20" s="1"/>
  <c r="AA17" i="8" s="1"/>
  <c r="W16" i="20"/>
  <c r="T16" i="20"/>
  <c r="T21" i="20" s="1"/>
  <c r="T44" i="20" s="1"/>
  <c r="Q16" i="20"/>
  <c r="Q21" i="20" s="1"/>
  <c r="M16" i="20"/>
  <c r="M21" i="20" s="1"/>
  <c r="J16" i="20"/>
  <c r="G16" i="20"/>
  <c r="G21" i="20" s="1"/>
  <c r="G44" i="20" s="1"/>
  <c r="D16" i="20"/>
  <c r="X13" i="20"/>
  <c r="V13" i="20"/>
  <c r="V45" i="20" s="1"/>
  <c r="U13" i="20"/>
  <c r="S13" i="20"/>
  <c r="R13" i="20"/>
  <c r="R45" i="20" s="1"/>
  <c r="P13" i="20"/>
  <c r="O13" i="20"/>
  <c r="L13" i="20"/>
  <c r="K13" i="20"/>
  <c r="K45" i="20" s="1"/>
  <c r="I13" i="20"/>
  <c r="H13" i="20"/>
  <c r="F13" i="20"/>
  <c r="E13" i="20"/>
  <c r="D13" i="20"/>
  <c r="C13" i="20"/>
  <c r="B13" i="20"/>
  <c r="W12" i="20"/>
  <c r="T12" i="20"/>
  <c r="Q12" i="20"/>
  <c r="M12" i="20"/>
  <c r="M13" i="20" s="1"/>
  <c r="J12" i="20"/>
  <c r="G12" i="20"/>
  <c r="D12" i="20"/>
  <c r="W11" i="20"/>
  <c r="W13" i="20" s="1"/>
  <c r="T11" i="20"/>
  <c r="Q11" i="20"/>
  <c r="M11" i="20"/>
  <c r="J11" i="20"/>
  <c r="G11" i="20"/>
  <c r="D11" i="20"/>
  <c r="W10" i="20"/>
  <c r="T10" i="20"/>
  <c r="Q10" i="20"/>
  <c r="M10" i="20"/>
  <c r="J10" i="20"/>
  <c r="G10" i="20"/>
  <c r="N10" i="20" s="1"/>
  <c r="Y10" i="20" s="1"/>
  <c r="AA10" i="8" s="1"/>
  <c r="D10" i="20"/>
  <c r="W9" i="20"/>
  <c r="T9" i="20"/>
  <c r="Q9" i="20"/>
  <c r="M9" i="20"/>
  <c r="J9" i="20"/>
  <c r="G9" i="20"/>
  <c r="D9" i="20"/>
  <c r="N9" i="20" s="1"/>
  <c r="Y9" i="20" s="1"/>
  <c r="AA9" i="8" s="1"/>
  <c r="W8" i="20"/>
  <c r="T8" i="20"/>
  <c r="Q8" i="20"/>
  <c r="M8" i="20"/>
  <c r="J8" i="20"/>
  <c r="G8" i="20"/>
  <c r="D8" i="20"/>
  <c r="N8" i="20" s="1"/>
  <c r="Y8" i="20" s="1"/>
  <c r="T71" i="19"/>
  <c r="D71" i="19"/>
  <c r="K70" i="19"/>
  <c r="J70" i="19"/>
  <c r="L70" i="19" s="1"/>
  <c r="P69" i="19"/>
  <c r="H69" i="19"/>
  <c r="W67" i="19"/>
  <c r="V67" i="19"/>
  <c r="X67" i="19" s="1"/>
  <c r="U67" i="19"/>
  <c r="T67" i="19"/>
  <c r="S67" i="19"/>
  <c r="Q67" i="19"/>
  <c r="R67" i="19" s="1"/>
  <c r="P67" i="19"/>
  <c r="N67" i="19"/>
  <c r="M67" i="19"/>
  <c r="K67" i="19"/>
  <c r="J67" i="19"/>
  <c r="L67" i="19" s="1"/>
  <c r="I67" i="19"/>
  <c r="H67" i="19"/>
  <c r="G67" i="19"/>
  <c r="E67" i="19"/>
  <c r="F67" i="19" s="1"/>
  <c r="D67" i="19"/>
  <c r="X66" i="19"/>
  <c r="U66" i="19"/>
  <c r="R66" i="19"/>
  <c r="O66" i="19"/>
  <c r="L66" i="19"/>
  <c r="I66" i="19"/>
  <c r="Y66" i="19" s="1"/>
  <c r="F66" i="19"/>
  <c r="X65" i="19"/>
  <c r="U65" i="19"/>
  <c r="R65" i="19"/>
  <c r="O65" i="19"/>
  <c r="L65" i="19"/>
  <c r="I65" i="19"/>
  <c r="Y65" i="19" s="1"/>
  <c r="F65" i="19"/>
  <c r="X64" i="19"/>
  <c r="U64" i="19"/>
  <c r="R64" i="19"/>
  <c r="O64" i="19"/>
  <c r="L64" i="19"/>
  <c r="I64" i="19"/>
  <c r="F64" i="19"/>
  <c r="T62" i="19"/>
  <c r="T69" i="19" s="1"/>
  <c r="Q62" i="19"/>
  <c r="P62" i="19"/>
  <c r="R62" i="19" s="1"/>
  <c r="M62" i="19"/>
  <c r="H62" i="19"/>
  <c r="E62" i="19"/>
  <c r="D62" i="19"/>
  <c r="W60" i="19"/>
  <c r="V60" i="19"/>
  <c r="X60" i="19" s="1"/>
  <c r="T60" i="19"/>
  <c r="S60" i="19"/>
  <c r="U60" i="19" s="1"/>
  <c r="R60" i="19"/>
  <c r="Q60" i="19"/>
  <c r="P60" i="19"/>
  <c r="O60" i="19"/>
  <c r="N60" i="19"/>
  <c r="M60" i="19"/>
  <c r="K60" i="19"/>
  <c r="J60" i="19"/>
  <c r="L60" i="19" s="1"/>
  <c r="H60" i="19"/>
  <c r="G60" i="19"/>
  <c r="I60" i="19" s="1"/>
  <c r="F60" i="19"/>
  <c r="E60" i="19"/>
  <c r="D60" i="19"/>
  <c r="X59" i="19"/>
  <c r="U59" i="19"/>
  <c r="R59" i="19"/>
  <c r="O59" i="19"/>
  <c r="Y59" i="19" s="1"/>
  <c r="Z64" i="8" s="1"/>
  <c r="L59" i="19"/>
  <c r="I59" i="19"/>
  <c r="F59" i="19"/>
  <c r="X58" i="19"/>
  <c r="U58" i="19"/>
  <c r="R58" i="19"/>
  <c r="O58" i="19"/>
  <c r="Y58" i="19" s="1"/>
  <c r="L58" i="19"/>
  <c r="I58" i="19"/>
  <c r="F58" i="19"/>
  <c r="X57" i="19"/>
  <c r="U57" i="19"/>
  <c r="R57" i="19"/>
  <c r="O57" i="19"/>
  <c r="Y57" i="19" s="1"/>
  <c r="L57" i="19"/>
  <c r="I57" i="19"/>
  <c r="F57" i="19"/>
  <c r="X56" i="19"/>
  <c r="U56" i="19"/>
  <c r="R56" i="19"/>
  <c r="O56" i="19"/>
  <c r="Y56" i="19" s="1"/>
  <c r="Z61" i="8" s="1"/>
  <c r="L56" i="19"/>
  <c r="I56" i="19"/>
  <c r="F56" i="19"/>
  <c r="X55" i="19"/>
  <c r="U55" i="19"/>
  <c r="R55" i="19"/>
  <c r="O55" i="19"/>
  <c r="Y55" i="19" s="1"/>
  <c r="Z60" i="8" s="1"/>
  <c r="L55" i="19"/>
  <c r="I55" i="19"/>
  <c r="F55" i="19"/>
  <c r="X54" i="19"/>
  <c r="U54" i="19"/>
  <c r="R54" i="19"/>
  <c r="O54" i="19"/>
  <c r="Y54" i="19" s="1"/>
  <c r="L54" i="19"/>
  <c r="I54" i="19"/>
  <c r="F54" i="19"/>
  <c r="W51" i="19"/>
  <c r="W62" i="19" s="1"/>
  <c r="W69" i="19" s="1"/>
  <c r="V51" i="19"/>
  <c r="X51" i="19" s="1"/>
  <c r="T51" i="19"/>
  <c r="S51" i="19"/>
  <c r="R51" i="19"/>
  <c r="Q51" i="19"/>
  <c r="P51" i="19"/>
  <c r="N51" i="19"/>
  <c r="N62" i="19" s="1"/>
  <c r="M51" i="19"/>
  <c r="K51" i="19"/>
  <c r="K62" i="19" s="1"/>
  <c r="K69" i="19" s="1"/>
  <c r="K71" i="19" s="1"/>
  <c r="J51" i="19"/>
  <c r="H51" i="19"/>
  <c r="G51" i="19"/>
  <c r="F51" i="19"/>
  <c r="E51" i="19"/>
  <c r="D51" i="19"/>
  <c r="X50" i="19"/>
  <c r="U50" i="19"/>
  <c r="R50" i="19"/>
  <c r="O50" i="19"/>
  <c r="Y50" i="19" s="1"/>
  <c r="L50" i="19"/>
  <c r="I50" i="19"/>
  <c r="F50" i="19"/>
  <c r="X49" i="19"/>
  <c r="U49" i="19"/>
  <c r="R49" i="19"/>
  <c r="O49" i="19"/>
  <c r="Y49" i="19" s="1"/>
  <c r="Z54" i="8" s="1"/>
  <c r="AC171" i="3" s="1"/>
  <c r="L49" i="19"/>
  <c r="I49" i="19"/>
  <c r="F49" i="19"/>
  <c r="X48" i="19"/>
  <c r="U48" i="19"/>
  <c r="R48" i="19"/>
  <c r="O48" i="19"/>
  <c r="L48" i="19"/>
  <c r="I48" i="19"/>
  <c r="F48" i="19"/>
  <c r="X47" i="19"/>
  <c r="U47" i="19"/>
  <c r="R47" i="19"/>
  <c r="O47" i="19"/>
  <c r="L47" i="19"/>
  <c r="I47" i="19"/>
  <c r="F47" i="19"/>
  <c r="X46" i="19"/>
  <c r="U46" i="19"/>
  <c r="R46" i="19"/>
  <c r="O46" i="19"/>
  <c r="L46" i="19"/>
  <c r="I46" i="19"/>
  <c r="Y46" i="19" s="1"/>
  <c r="F46" i="19"/>
  <c r="T43" i="19"/>
  <c r="T44" i="19" s="1"/>
  <c r="P43" i="19"/>
  <c r="R43" i="19" s="1"/>
  <c r="H43" i="19"/>
  <c r="W41" i="19"/>
  <c r="W71" i="19" s="1"/>
  <c r="W70" i="19" s="1"/>
  <c r="V41" i="19"/>
  <c r="T41" i="19"/>
  <c r="S41" i="19"/>
  <c r="U41" i="19" s="1"/>
  <c r="U71" i="19" s="1"/>
  <c r="R41" i="19"/>
  <c r="R71" i="19" s="1"/>
  <c r="Q41" i="19"/>
  <c r="Q71" i="19" s="1"/>
  <c r="P41" i="19"/>
  <c r="P71" i="19" s="1"/>
  <c r="N41" i="19"/>
  <c r="N71" i="19" s="1"/>
  <c r="M41" i="19"/>
  <c r="M71" i="19" s="1"/>
  <c r="K41" i="19"/>
  <c r="J41" i="19"/>
  <c r="L41" i="19" s="1"/>
  <c r="H41" i="19"/>
  <c r="H71" i="19" s="1"/>
  <c r="H70" i="19" s="1"/>
  <c r="G41" i="19"/>
  <c r="F41" i="19"/>
  <c r="E41" i="19"/>
  <c r="E71" i="19" s="1"/>
  <c r="D41" i="19"/>
  <c r="X40" i="19"/>
  <c r="U40" i="19"/>
  <c r="R40" i="19"/>
  <c r="O40" i="19"/>
  <c r="Y40" i="19" s="1"/>
  <c r="Z45" i="8" s="1"/>
  <c r="L40" i="19"/>
  <c r="I40" i="19"/>
  <c r="F40" i="19"/>
  <c r="X39" i="19"/>
  <c r="U39" i="19"/>
  <c r="R39" i="19"/>
  <c r="O39" i="19"/>
  <c r="Y39" i="19" s="1"/>
  <c r="Z44" i="8" s="1"/>
  <c r="L39" i="19"/>
  <c r="I39" i="19"/>
  <c r="F39" i="19"/>
  <c r="X38" i="19"/>
  <c r="U38" i="19"/>
  <c r="R38" i="19"/>
  <c r="O38" i="19"/>
  <c r="Y38" i="19" s="1"/>
  <c r="Z43" i="8" s="1"/>
  <c r="L38" i="19"/>
  <c r="I38" i="19"/>
  <c r="F38" i="19"/>
  <c r="X37" i="19"/>
  <c r="U37" i="19"/>
  <c r="R37" i="19"/>
  <c r="O37" i="19"/>
  <c r="Y37" i="19" s="1"/>
  <c r="Z42" i="8" s="1"/>
  <c r="L37" i="19"/>
  <c r="I37" i="19"/>
  <c r="F37" i="19"/>
  <c r="X36" i="19"/>
  <c r="U36" i="19"/>
  <c r="R36" i="19"/>
  <c r="O36" i="19"/>
  <c r="Y36" i="19" s="1"/>
  <c r="L36" i="19"/>
  <c r="I36" i="19"/>
  <c r="F36" i="19"/>
  <c r="X35" i="19"/>
  <c r="U35" i="19"/>
  <c r="R35" i="19"/>
  <c r="O35" i="19"/>
  <c r="Y35" i="19" s="1"/>
  <c r="L35" i="19"/>
  <c r="I35" i="19"/>
  <c r="F35" i="19"/>
  <c r="X34" i="19"/>
  <c r="U34" i="19"/>
  <c r="R34" i="19"/>
  <c r="O34" i="19"/>
  <c r="Y34" i="19" s="1"/>
  <c r="Z39" i="8" s="1"/>
  <c r="L34" i="19"/>
  <c r="I34" i="19"/>
  <c r="F34" i="19"/>
  <c r="X33" i="19"/>
  <c r="U33" i="19"/>
  <c r="R33" i="19"/>
  <c r="O33" i="19"/>
  <c r="Y33" i="19" s="1"/>
  <c r="Z38" i="8" s="1"/>
  <c r="L33" i="19"/>
  <c r="I33" i="19"/>
  <c r="F33" i="19"/>
  <c r="X32" i="19"/>
  <c r="U32" i="19"/>
  <c r="R32" i="19"/>
  <c r="O32" i="19"/>
  <c r="Y32" i="19" s="1"/>
  <c r="Z36" i="8" s="1"/>
  <c r="L32" i="19"/>
  <c r="I32" i="19"/>
  <c r="F32" i="19"/>
  <c r="X31" i="19"/>
  <c r="U31" i="19"/>
  <c r="R31" i="19"/>
  <c r="O31" i="19"/>
  <c r="Y31" i="19" s="1"/>
  <c r="Z35" i="8" s="1"/>
  <c r="L31" i="19"/>
  <c r="I31" i="19"/>
  <c r="F31" i="19"/>
  <c r="X30" i="19"/>
  <c r="U30" i="19"/>
  <c r="R30" i="19"/>
  <c r="O30" i="19"/>
  <c r="Y30" i="19" s="1"/>
  <c r="Z33" i="8" s="1"/>
  <c r="L30" i="19"/>
  <c r="I30" i="19"/>
  <c r="F30" i="19"/>
  <c r="X29" i="19"/>
  <c r="U29" i="19"/>
  <c r="R29" i="19"/>
  <c r="O29" i="19"/>
  <c r="Y29" i="19" s="1"/>
  <c r="Z32" i="8" s="1"/>
  <c r="L29" i="19"/>
  <c r="I29" i="19"/>
  <c r="F29" i="19"/>
  <c r="X28" i="19"/>
  <c r="U28" i="19"/>
  <c r="R28" i="19"/>
  <c r="O28" i="19"/>
  <c r="Y28" i="19" s="1"/>
  <c r="L28" i="19"/>
  <c r="I28" i="19"/>
  <c r="F28" i="19"/>
  <c r="X27" i="19"/>
  <c r="U27" i="19"/>
  <c r="R27" i="19"/>
  <c r="O27" i="19"/>
  <c r="Y27" i="19" s="1"/>
  <c r="Z28" i="8" s="1"/>
  <c r="L27" i="19"/>
  <c r="I27" i="19"/>
  <c r="F27" i="19"/>
  <c r="X26" i="19"/>
  <c r="U26" i="19"/>
  <c r="R26" i="19"/>
  <c r="O26" i="19"/>
  <c r="Y26" i="19" s="1"/>
  <c r="Z27" i="8" s="1"/>
  <c r="L26" i="19"/>
  <c r="I26" i="19"/>
  <c r="F26" i="19"/>
  <c r="X25" i="19"/>
  <c r="U25" i="19"/>
  <c r="R25" i="19"/>
  <c r="O25" i="19"/>
  <c r="Y25" i="19" s="1"/>
  <c r="Z26" i="8" s="1"/>
  <c r="L25" i="19"/>
  <c r="I25" i="19"/>
  <c r="F25" i="19"/>
  <c r="X24" i="19"/>
  <c r="U24" i="19"/>
  <c r="R24" i="19"/>
  <c r="O24" i="19"/>
  <c r="Y24" i="19" s="1"/>
  <c r="Z25" i="8" s="1"/>
  <c r="L24" i="19"/>
  <c r="I24" i="19"/>
  <c r="F24" i="19"/>
  <c r="X23" i="19"/>
  <c r="U23" i="19"/>
  <c r="R23" i="19"/>
  <c r="O23" i="19"/>
  <c r="Y23" i="19" s="1"/>
  <c r="L23" i="19"/>
  <c r="I23" i="19"/>
  <c r="F23" i="19"/>
  <c r="X20" i="19"/>
  <c r="W20" i="19"/>
  <c r="V20" i="19"/>
  <c r="U20" i="19"/>
  <c r="T20" i="19"/>
  <c r="S20" i="19"/>
  <c r="S43" i="19" s="1"/>
  <c r="U43" i="19" s="1"/>
  <c r="Q20" i="19"/>
  <c r="Q43" i="19" s="1"/>
  <c r="P20" i="19"/>
  <c r="R20" i="19" s="1"/>
  <c r="N20" i="19"/>
  <c r="M20" i="19"/>
  <c r="O20" i="19" s="1"/>
  <c r="L20" i="19"/>
  <c r="K20" i="19"/>
  <c r="K43" i="19" s="1"/>
  <c r="K44" i="19" s="1"/>
  <c r="J20" i="19"/>
  <c r="H20" i="19"/>
  <c r="I20" i="19" s="1"/>
  <c r="Y20" i="19" s="1"/>
  <c r="G20" i="19"/>
  <c r="G43" i="19" s="1"/>
  <c r="I43" i="19" s="1"/>
  <c r="E20" i="19"/>
  <c r="E43" i="19" s="1"/>
  <c r="D20" i="19"/>
  <c r="F20" i="19" s="1"/>
  <c r="B20" i="19"/>
  <c r="X19" i="19"/>
  <c r="U19" i="19"/>
  <c r="R19" i="19"/>
  <c r="O19" i="19"/>
  <c r="L19" i="19"/>
  <c r="I19" i="19"/>
  <c r="F19" i="19"/>
  <c r="X18" i="19"/>
  <c r="U18" i="19"/>
  <c r="R18" i="19"/>
  <c r="O18" i="19"/>
  <c r="L18" i="19"/>
  <c r="I18" i="19"/>
  <c r="Y18" i="19" s="1"/>
  <c r="F18" i="19"/>
  <c r="X17" i="19"/>
  <c r="U17" i="19"/>
  <c r="R17" i="19"/>
  <c r="O17" i="19"/>
  <c r="L17" i="19"/>
  <c r="I17" i="19"/>
  <c r="Y17" i="19" s="1"/>
  <c r="F17" i="19"/>
  <c r="X16" i="19"/>
  <c r="U16" i="19"/>
  <c r="R16" i="19"/>
  <c r="O16" i="19"/>
  <c r="L16" i="19"/>
  <c r="I16" i="19"/>
  <c r="Y16" i="19" s="1"/>
  <c r="F16" i="19"/>
  <c r="W13" i="19"/>
  <c r="V13" i="19"/>
  <c r="U13" i="19"/>
  <c r="T13" i="19"/>
  <c r="S13" i="19"/>
  <c r="S44" i="19" s="1"/>
  <c r="Q13" i="19"/>
  <c r="P13" i="19"/>
  <c r="R13" i="19" s="1"/>
  <c r="N13" i="19"/>
  <c r="M13" i="19"/>
  <c r="L13" i="19"/>
  <c r="K13" i="19"/>
  <c r="J13" i="19"/>
  <c r="H13" i="19"/>
  <c r="H44" i="19" s="1"/>
  <c r="G13" i="19"/>
  <c r="E13" i="19"/>
  <c r="D13" i="19"/>
  <c r="B13" i="19"/>
  <c r="X12" i="19"/>
  <c r="U12" i="19"/>
  <c r="R12" i="19"/>
  <c r="O12" i="19"/>
  <c r="L12" i="19"/>
  <c r="I12" i="19"/>
  <c r="F12" i="19"/>
  <c r="X11" i="19"/>
  <c r="U11" i="19"/>
  <c r="R11" i="19"/>
  <c r="O11" i="19"/>
  <c r="Y11" i="19" s="1"/>
  <c r="Z11" i="8" s="1"/>
  <c r="L11" i="19"/>
  <c r="I11" i="19"/>
  <c r="F11" i="19"/>
  <c r="X10" i="19"/>
  <c r="U10" i="19"/>
  <c r="R10" i="19"/>
  <c r="O10" i="19"/>
  <c r="L10" i="19"/>
  <c r="I10" i="19"/>
  <c r="F10" i="19"/>
  <c r="X9" i="19"/>
  <c r="U9" i="19"/>
  <c r="R9" i="19"/>
  <c r="O9" i="19"/>
  <c r="L9" i="19"/>
  <c r="I9" i="19"/>
  <c r="F9" i="19"/>
  <c r="X8" i="19"/>
  <c r="U8" i="19"/>
  <c r="R8" i="19"/>
  <c r="O8" i="19"/>
  <c r="L8" i="19"/>
  <c r="I8" i="19"/>
  <c r="F8" i="19"/>
  <c r="Y8" i="19" s="1"/>
  <c r="Z8" i="8" s="1"/>
  <c r="F71" i="18"/>
  <c r="E71" i="18"/>
  <c r="B71" i="18"/>
  <c r="B70" i="18" s="1"/>
  <c r="B69" i="18"/>
  <c r="H67" i="18"/>
  <c r="Y72" i="8" s="1"/>
  <c r="F67" i="18"/>
  <c r="E67" i="18"/>
  <c r="G67" i="18" s="1"/>
  <c r="D67" i="18"/>
  <c r="C67" i="18"/>
  <c r="B67" i="18"/>
  <c r="G66" i="18"/>
  <c r="H66" i="18" s="1"/>
  <c r="Y71" i="8" s="1"/>
  <c r="D66" i="18"/>
  <c r="G65" i="18"/>
  <c r="D65" i="18"/>
  <c r="H65" i="18" s="1"/>
  <c r="G64" i="18"/>
  <c r="D64" i="18"/>
  <c r="H64" i="18" s="1"/>
  <c r="Y69" i="8" s="1"/>
  <c r="B62" i="18"/>
  <c r="H60" i="18"/>
  <c r="F60" i="18"/>
  <c r="E60" i="18"/>
  <c r="G60" i="18" s="1"/>
  <c r="D60" i="18"/>
  <c r="C60" i="18"/>
  <c r="B60" i="18"/>
  <c r="G59" i="18"/>
  <c r="H59" i="18" s="1"/>
  <c r="Y64" i="8" s="1"/>
  <c r="D59" i="18"/>
  <c r="G58" i="18"/>
  <c r="D58" i="18"/>
  <c r="G57" i="18"/>
  <c r="D57" i="18"/>
  <c r="H57" i="18" s="1"/>
  <c r="H56" i="18"/>
  <c r="Y61" i="8" s="1"/>
  <c r="G56" i="18"/>
  <c r="D56" i="18"/>
  <c r="G55" i="18"/>
  <c r="H55" i="18" s="1"/>
  <c r="Y60" i="8" s="1"/>
  <c r="D55" i="18"/>
  <c r="G54" i="18"/>
  <c r="D54" i="18"/>
  <c r="H54" i="18" s="1"/>
  <c r="F51" i="18"/>
  <c r="F62" i="18" s="1"/>
  <c r="F69" i="18" s="1"/>
  <c r="E51" i="18"/>
  <c r="C51" i="18"/>
  <c r="C62" i="18" s="1"/>
  <c r="B51" i="18"/>
  <c r="G50" i="18"/>
  <c r="D50" i="18"/>
  <c r="G49" i="18"/>
  <c r="D49" i="18"/>
  <c r="H49" i="18" s="1"/>
  <c r="G48" i="18"/>
  <c r="D48" i="18"/>
  <c r="G47" i="18"/>
  <c r="D47" i="18"/>
  <c r="H47" i="18" s="1"/>
  <c r="G46" i="18"/>
  <c r="D46" i="18"/>
  <c r="H46" i="18" s="1"/>
  <c r="Y51" i="8" s="1"/>
  <c r="AB167" i="3" s="1"/>
  <c r="E43" i="18"/>
  <c r="G43" i="18" s="1"/>
  <c r="G41" i="18"/>
  <c r="G71" i="18" s="1"/>
  <c r="F41" i="18"/>
  <c r="E41" i="18"/>
  <c r="C41" i="18"/>
  <c r="C71" i="18" s="1"/>
  <c r="B41" i="18"/>
  <c r="G40" i="18"/>
  <c r="D40" i="18"/>
  <c r="G39" i="18"/>
  <c r="D39" i="18"/>
  <c r="H39" i="18" s="1"/>
  <c r="H38" i="18"/>
  <c r="G38" i="18"/>
  <c r="D38" i="18"/>
  <c r="G37" i="18"/>
  <c r="H37" i="18" s="1"/>
  <c r="Y42" i="8" s="1"/>
  <c r="D37" i="18"/>
  <c r="G36" i="18"/>
  <c r="D36" i="18"/>
  <c r="H36" i="18" s="1"/>
  <c r="G35" i="18"/>
  <c r="D35" i="18"/>
  <c r="H35" i="18" s="1"/>
  <c r="H34" i="18"/>
  <c r="G34" i="18"/>
  <c r="D34" i="18"/>
  <c r="G33" i="18"/>
  <c r="H33" i="18" s="1"/>
  <c r="Y38" i="8" s="1"/>
  <c r="D33" i="18"/>
  <c r="G32" i="18"/>
  <c r="D32" i="18"/>
  <c r="G31" i="18"/>
  <c r="D31" i="18"/>
  <c r="H31" i="18" s="1"/>
  <c r="H30" i="18"/>
  <c r="G30" i="18"/>
  <c r="D30" i="18"/>
  <c r="G29" i="18"/>
  <c r="H29" i="18" s="1"/>
  <c r="D29" i="18"/>
  <c r="G28" i="18"/>
  <c r="D28" i="18"/>
  <c r="H28" i="18" s="1"/>
  <c r="G27" i="18"/>
  <c r="D27" i="18"/>
  <c r="H27" i="18" s="1"/>
  <c r="H26" i="18"/>
  <c r="G26" i="18"/>
  <c r="D26" i="18"/>
  <c r="G25" i="18"/>
  <c r="H25" i="18" s="1"/>
  <c r="D25" i="18"/>
  <c r="G24" i="18"/>
  <c r="D24" i="18"/>
  <c r="G23" i="18"/>
  <c r="D23" i="18"/>
  <c r="H23" i="18" s="1"/>
  <c r="H20" i="18"/>
  <c r="Y21" i="8" s="1"/>
  <c r="F20" i="18"/>
  <c r="F43" i="18" s="1"/>
  <c r="E20" i="18"/>
  <c r="G20" i="18" s="1"/>
  <c r="D20" i="18"/>
  <c r="C20" i="18"/>
  <c r="C43" i="18" s="1"/>
  <c r="D43" i="18" s="1"/>
  <c r="H43" i="18" s="1"/>
  <c r="Y48" i="8" s="1"/>
  <c r="B20" i="18"/>
  <c r="B43" i="18" s="1"/>
  <c r="H19" i="18"/>
  <c r="G19" i="18"/>
  <c r="D19" i="18"/>
  <c r="G18" i="18"/>
  <c r="D18" i="18"/>
  <c r="H18" i="18" s="1"/>
  <c r="G17" i="18"/>
  <c r="D17" i="18"/>
  <c r="H17" i="18" s="1"/>
  <c r="Y17" i="8" s="1"/>
  <c r="H16" i="18"/>
  <c r="G16" i="18"/>
  <c r="D16" i="18"/>
  <c r="G13" i="18"/>
  <c r="F13" i="18"/>
  <c r="E13" i="18"/>
  <c r="C13" i="18"/>
  <c r="B13" i="18"/>
  <c r="H12" i="18"/>
  <c r="G12" i="18"/>
  <c r="D12" i="18"/>
  <c r="H11" i="18"/>
  <c r="Y11" i="8" s="1"/>
  <c r="G11" i="18"/>
  <c r="D11" i="18"/>
  <c r="G10" i="18"/>
  <c r="D10" i="18"/>
  <c r="H10" i="18" s="1"/>
  <c r="G9" i="18"/>
  <c r="D9" i="18"/>
  <c r="G8" i="18"/>
  <c r="D8" i="18"/>
  <c r="H8" i="18" s="1"/>
  <c r="Y8" i="8" s="1"/>
  <c r="E55" i="17"/>
  <c r="E54" i="17" s="1"/>
  <c r="F51" i="17"/>
  <c r="G51" i="17" s="1"/>
  <c r="E51" i="17"/>
  <c r="C51" i="17"/>
  <c r="C53" i="17" s="1"/>
  <c r="B51" i="17"/>
  <c r="G50" i="17"/>
  <c r="D50" i="17"/>
  <c r="H50" i="17" s="1"/>
  <c r="H49" i="17"/>
  <c r="R70" i="8" s="1"/>
  <c r="G49" i="17"/>
  <c r="D49" i="17"/>
  <c r="G48" i="17"/>
  <c r="H48" i="17" s="1"/>
  <c r="R69" i="8" s="1"/>
  <c r="D48" i="17"/>
  <c r="C46" i="17"/>
  <c r="F44" i="17"/>
  <c r="E44" i="17"/>
  <c r="C44" i="17"/>
  <c r="B44" i="17"/>
  <c r="D44" i="17" s="1"/>
  <c r="H43" i="17"/>
  <c r="R64" i="8" s="1"/>
  <c r="G43" i="17"/>
  <c r="D43" i="17"/>
  <c r="G42" i="17"/>
  <c r="H42" i="17" s="1"/>
  <c r="D42" i="17"/>
  <c r="G41" i="17"/>
  <c r="D41" i="17"/>
  <c r="G40" i="17"/>
  <c r="D40" i="17"/>
  <c r="H40" i="17" s="1"/>
  <c r="H39" i="17"/>
  <c r="R60" i="8" s="1"/>
  <c r="G39" i="17"/>
  <c r="D39" i="17"/>
  <c r="G38" i="17"/>
  <c r="H38" i="17" s="1"/>
  <c r="R59" i="8" s="1"/>
  <c r="D38" i="17"/>
  <c r="E35" i="17"/>
  <c r="E46" i="17" s="1"/>
  <c r="E53" i="17" s="1"/>
  <c r="C35" i="17"/>
  <c r="B35" i="17"/>
  <c r="G34" i="17"/>
  <c r="D34" i="17"/>
  <c r="H34" i="17" s="1"/>
  <c r="H33" i="17"/>
  <c r="G33" i="17"/>
  <c r="D33" i="17"/>
  <c r="H32" i="17"/>
  <c r="G32" i="17"/>
  <c r="D32" i="17"/>
  <c r="F31" i="17"/>
  <c r="D31" i="17"/>
  <c r="C28" i="17"/>
  <c r="F26" i="17"/>
  <c r="E26" i="17"/>
  <c r="C26" i="17"/>
  <c r="C55" i="17" s="1"/>
  <c r="C54" i="17" s="1"/>
  <c r="B26" i="17"/>
  <c r="D26" i="17" s="1"/>
  <c r="H25" i="17"/>
  <c r="G25" i="17"/>
  <c r="F25" i="17"/>
  <c r="D25" i="17"/>
  <c r="H24" i="17"/>
  <c r="G24" i="17"/>
  <c r="D24" i="17"/>
  <c r="G23" i="17"/>
  <c r="D23" i="17"/>
  <c r="H22" i="17"/>
  <c r="G20" i="17"/>
  <c r="F20" i="17"/>
  <c r="E20" i="17"/>
  <c r="E28" i="17" s="1"/>
  <c r="C20" i="17"/>
  <c r="D20" i="17" s="1"/>
  <c r="B20" i="17"/>
  <c r="G19" i="17"/>
  <c r="D19" i="17"/>
  <c r="G18" i="17"/>
  <c r="D18" i="17"/>
  <c r="H18" i="17" s="1"/>
  <c r="H17" i="17"/>
  <c r="G17" i="17"/>
  <c r="D17" i="17"/>
  <c r="G16" i="17"/>
  <c r="H16" i="17" s="1"/>
  <c r="D16" i="17"/>
  <c r="E13" i="17"/>
  <c r="C13" i="17"/>
  <c r="B13" i="17"/>
  <c r="D13" i="17" s="1"/>
  <c r="H12" i="17"/>
  <c r="R12" i="8" s="1"/>
  <c r="G12" i="17"/>
  <c r="D12" i="17"/>
  <c r="G11" i="17"/>
  <c r="D11" i="17"/>
  <c r="H10" i="17"/>
  <c r="R10" i="8" s="1"/>
  <c r="G10" i="17"/>
  <c r="D10" i="17"/>
  <c r="H9" i="17"/>
  <c r="R9" i="8" s="1"/>
  <c r="G9" i="17"/>
  <c r="D9" i="17"/>
  <c r="F8" i="17"/>
  <c r="D8" i="17"/>
  <c r="H70" i="12"/>
  <c r="C70" i="12"/>
  <c r="B68" i="12"/>
  <c r="I67" i="12"/>
  <c r="G67" i="12"/>
  <c r="D67" i="12"/>
  <c r="H66" i="12"/>
  <c r="F66" i="12"/>
  <c r="E66" i="12"/>
  <c r="G66" i="12" s="1"/>
  <c r="D66" i="12"/>
  <c r="I66" i="12" s="1"/>
  <c r="D72" i="8" s="1"/>
  <c r="C66" i="12"/>
  <c r="B66" i="12"/>
  <c r="G65" i="12"/>
  <c r="I65" i="12" s="1"/>
  <c r="D65" i="12"/>
  <c r="G64" i="12"/>
  <c r="D64" i="12"/>
  <c r="G63" i="12"/>
  <c r="D63" i="12"/>
  <c r="I63" i="12" s="1"/>
  <c r="H61" i="12"/>
  <c r="H68" i="12" s="1"/>
  <c r="B61" i="12"/>
  <c r="G60" i="12"/>
  <c r="D60" i="12"/>
  <c r="I60" i="12" s="1"/>
  <c r="H59" i="12"/>
  <c r="F59" i="12"/>
  <c r="E59" i="12"/>
  <c r="G59" i="12" s="1"/>
  <c r="C59" i="12"/>
  <c r="D59" i="12" s="1"/>
  <c r="I59" i="12" s="1"/>
  <c r="B59" i="12"/>
  <c r="G58" i="12"/>
  <c r="D58" i="12"/>
  <c r="G57" i="12"/>
  <c r="D57" i="12"/>
  <c r="I57" i="12" s="1"/>
  <c r="I56" i="12"/>
  <c r="D62" i="8" s="1"/>
  <c r="G56" i="12"/>
  <c r="D56" i="12"/>
  <c r="G55" i="12"/>
  <c r="I55" i="12" s="1"/>
  <c r="D55" i="12"/>
  <c r="G54" i="12"/>
  <c r="D54" i="12"/>
  <c r="G53" i="12"/>
  <c r="D53" i="12"/>
  <c r="I53" i="12" s="1"/>
  <c r="I52" i="12"/>
  <c r="G52" i="12"/>
  <c r="D52" i="12"/>
  <c r="G51" i="12"/>
  <c r="I51" i="12" s="1"/>
  <c r="D51" i="12"/>
  <c r="H50" i="12"/>
  <c r="F50" i="12"/>
  <c r="E50" i="12"/>
  <c r="C50" i="12"/>
  <c r="B50" i="12"/>
  <c r="G49" i="12"/>
  <c r="D49" i="12"/>
  <c r="G48" i="12"/>
  <c r="D48" i="12"/>
  <c r="G47" i="12"/>
  <c r="D47" i="12"/>
  <c r="I47" i="12" s="1"/>
  <c r="D52" i="8" s="1"/>
  <c r="P166" i="3" s="1"/>
  <c r="I46" i="12"/>
  <c r="G46" i="12"/>
  <c r="D46" i="12"/>
  <c r="G45" i="12"/>
  <c r="I45" i="12" s="1"/>
  <c r="D45" i="12"/>
  <c r="G44" i="12"/>
  <c r="D44" i="12"/>
  <c r="C43" i="12"/>
  <c r="G42" i="12"/>
  <c r="D42" i="12"/>
  <c r="I42" i="12" s="1"/>
  <c r="H41" i="12"/>
  <c r="F41" i="12"/>
  <c r="F70" i="12" s="1"/>
  <c r="E41" i="12"/>
  <c r="C41" i="12"/>
  <c r="B41" i="12"/>
  <c r="I40" i="12"/>
  <c r="G40" i="12"/>
  <c r="D40" i="12"/>
  <c r="G39" i="12"/>
  <c r="I39" i="12" s="1"/>
  <c r="D44" i="8" s="1"/>
  <c r="D39" i="12"/>
  <c r="G38" i="12"/>
  <c r="D38" i="12"/>
  <c r="G37" i="12"/>
  <c r="D37" i="12"/>
  <c r="I37" i="12" s="1"/>
  <c r="I36" i="12"/>
  <c r="D41" i="8" s="1"/>
  <c r="G36" i="12"/>
  <c r="D36" i="12"/>
  <c r="G35" i="12"/>
  <c r="I35" i="12" s="1"/>
  <c r="D40" i="8" s="1"/>
  <c r="D35" i="12"/>
  <c r="G34" i="12"/>
  <c r="D34" i="12"/>
  <c r="G33" i="12"/>
  <c r="D33" i="12"/>
  <c r="I33" i="12" s="1"/>
  <c r="I32" i="12"/>
  <c r="G32" i="12"/>
  <c r="D32" i="12"/>
  <c r="G31" i="12"/>
  <c r="I31" i="12" s="1"/>
  <c r="D31" i="12"/>
  <c r="G30" i="12"/>
  <c r="D30" i="12"/>
  <c r="G29" i="12"/>
  <c r="D29" i="12"/>
  <c r="I29" i="12" s="1"/>
  <c r="I28" i="12"/>
  <c r="G28" i="12"/>
  <c r="D28" i="12"/>
  <c r="G27" i="12"/>
  <c r="I27" i="12" s="1"/>
  <c r="D27" i="12"/>
  <c r="G26" i="12"/>
  <c r="D26" i="12"/>
  <c r="G25" i="12"/>
  <c r="D25" i="12"/>
  <c r="I25" i="12" s="1"/>
  <c r="I24" i="12"/>
  <c r="G24" i="12"/>
  <c r="D24" i="12"/>
  <c r="G23" i="12"/>
  <c r="I23" i="12" s="1"/>
  <c r="D23" i="12"/>
  <c r="G22" i="12"/>
  <c r="D22" i="12"/>
  <c r="G21" i="12"/>
  <c r="D21" i="12"/>
  <c r="I21" i="12" s="1"/>
  <c r="H20" i="12"/>
  <c r="H43" i="12" s="1"/>
  <c r="F20" i="12"/>
  <c r="E20" i="12"/>
  <c r="C20" i="12"/>
  <c r="B20" i="12"/>
  <c r="D20" i="12" s="1"/>
  <c r="I19" i="12"/>
  <c r="D20" i="8" s="1"/>
  <c r="G19" i="12"/>
  <c r="D19" i="12"/>
  <c r="G18" i="12"/>
  <c r="I18" i="12" s="1"/>
  <c r="D18" i="12"/>
  <c r="G17" i="12"/>
  <c r="D17" i="12"/>
  <c r="G16" i="12"/>
  <c r="D16" i="12"/>
  <c r="I16" i="12" s="1"/>
  <c r="D16" i="8" s="1"/>
  <c r="I15" i="12"/>
  <c r="G15" i="12"/>
  <c r="D15" i="12"/>
  <c r="G14" i="12"/>
  <c r="I14" i="12" s="1"/>
  <c r="D14" i="12"/>
  <c r="H13" i="12"/>
  <c r="G13" i="12"/>
  <c r="F13" i="12"/>
  <c r="E13" i="12"/>
  <c r="D13" i="12"/>
  <c r="I13" i="12" s="1"/>
  <c r="C13" i="12"/>
  <c r="B13" i="12"/>
  <c r="G12" i="12"/>
  <c r="D12" i="12"/>
  <c r="I12" i="12" s="1"/>
  <c r="G11" i="12"/>
  <c r="D11" i="12"/>
  <c r="I11" i="12" s="1"/>
  <c r="I10" i="12"/>
  <c r="G10" i="12"/>
  <c r="D10" i="12"/>
  <c r="I9" i="12"/>
  <c r="G9" i="12"/>
  <c r="D9" i="12"/>
  <c r="G8" i="12"/>
  <c r="D8" i="12"/>
  <c r="I8" i="12" s="1"/>
  <c r="B58" i="16"/>
  <c r="C54" i="16"/>
  <c r="B54" i="16"/>
  <c r="D53" i="16"/>
  <c r="N53" i="15" s="1"/>
  <c r="D52" i="16"/>
  <c r="N52" i="15" s="1"/>
  <c r="D51" i="16"/>
  <c r="N51" i="15" s="1"/>
  <c r="B47" i="16"/>
  <c r="D46" i="16"/>
  <c r="N46" i="15" s="1"/>
  <c r="C45" i="16"/>
  <c r="D45" i="16" s="1"/>
  <c r="N45" i="15" s="1"/>
  <c r="D44" i="16"/>
  <c r="N44" i="15" s="1"/>
  <c r="D43" i="16"/>
  <c r="N43" i="15" s="1"/>
  <c r="D42" i="16"/>
  <c r="N42" i="15" s="1"/>
  <c r="D41" i="16"/>
  <c r="C38" i="16"/>
  <c r="B38" i="16"/>
  <c r="B49" i="16" s="1"/>
  <c r="D37" i="16"/>
  <c r="N37" i="15" s="1"/>
  <c r="D36" i="16"/>
  <c r="N36" i="15" s="1"/>
  <c r="D35" i="16"/>
  <c r="N35" i="15" s="1"/>
  <c r="D34" i="16"/>
  <c r="N34" i="15" s="1"/>
  <c r="D33" i="16"/>
  <c r="B30" i="16"/>
  <c r="C28" i="16"/>
  <c r="C58" i="16" s="1"/>
  <c r="B28" i="16"/>
  <c r="D27" i="16"/>
  <c r="N27" i="15" s="1"/>
  <c r="D26" i="16"/>
  <c r="N26" i="15" s="1"/>
  <c r="D25" i="16"/>
  <c r="N25" i="15" s="1"/>
  <c r="C22" i="16"/>
  <c r="C30" i="16" s="1"/>
  <c r="B22" i="16"/>
  <c r="D21" i="16"/>
  <c r="N21" i="15" s="1"/>
  <c r="D20" i="16"/>
  <c r="N20" i="15" s="1"/>
  <c r="D19" i="16"/>
  <c r="N19" i="15" s="1"/>
  <c r="D18" i="16"/>
  <c r="N18" i="15" s="1"/>
  <c r="D17" i="16"/>
  <c r="N17" i="15" s="1"/>
  <c r="C14" i="16"/>
  <c r="B14" i="16"/>
  <c r="D13" i="16"/>
  <c r="N13" i="15" s="1"/>
  <c r="D12" i="16"/>
  <c r="N12" i="15" s="1"/>
  <c r="D11" i="16"/>
  <c r="N11" i="15" s="1"/>
  <c r="D10" i="16"/>
  <c r="N10" i="15" s="1"/>
  <c r="D9" i="16"/>
  <c r="N9" i="15" s="1"/>
  <c r="D8" i="16"/>
  <c r="N8" i="15" s="1"/>
  <c r="L56" i="15"/>
  <c r="L54" i="15"/>
  <c r="K54" i="15"/>
  <c r="I54" i="15"/>
  <c r="H54" i="15"/>
  <c r="J54" i="15" s="1"/>
  <c r="F54" i="15"/>
  <c r="G54" i="15" s="1"/>
  <c r="E54" i="15"/>
  <c r="C54" i="15"/>
  <c r="B54" i="15"/>
  <c r="D54" i="15" s="1"/>
  <c r="M53" i="15"/>
  <c r="J53" i="15"/>
  <c r="G53" i="15"/>
  <c r="D53" i="15"/>
  <c r="M52" i="15"/>
  <c r="J52" i="15"/>
  <c r="G52" i="15"/>
  <c r="D52" i="15"/>
  <c r="M51" i="15"/>
  <c r="J51" i="15"/>
  <c r="G51" i="15"/>
  <c r="D51" i="15"/>
  <c r="L47" i="15"/>
  <c r="K47" i="15"/>
  <c r="I47" i="15"/>
  <c r="H47" i="15"/>
  <c r="F47" i="15"/>
  <c r="E47" i="15"/>
  <c r="C47" i="15"/>
  <c r="B47" i="15"/>
  <c r="M46" i="15"/>
  <c r="J46" i="15"/>
  <c r="G46" i="15"/>
  <c r="D46" i="15"/>
  <c r="M45" i="15"/>
  <c r="J45" i="15"/>
  <c r="G45" i="15"/>
  <c r="D45" i="15"/>
  <c r="M44" i="15"/>
  <c r="J44" i="15"/>
  <c r="G44" i="15"/>
  <c r="D44" i="15"/>
  <c r="M43" i="15"/>
  <c r="J43" i="15"/>
  <c r="G43" i="15"/>
  <c r="D43" i="15"/>
  <c r="M42" i="15"/>
  <c r="J42" i="15"/>
  <c r="G42" i="15"/>
  <c r="D42" i="15"/>
  <c r="M41" i="15"/>
  <c r="M47" i="15" s="1"/>
  <c r="J41" i="15"/>
  <c r="J47" i="15" s="1"/>
  <c r="G41" i="15"/>
  <c r="D41" i="15"/>
  <c r="L38" i="15"/>
  <c r="L49" i="15" s="1"/>
  <c r="K38" i="15"/>
  <c r="K49" i="15" s="1"/>
  <c r="K56" i="15" s="1"/>
  <c r="I38" i="15"/>
  <c r="I49" i="15" s="1"/>
  <c r="I56" i="15" s="1"/>
  <c r="H38" i="15"/>
  <c r="H49" i="15" s="1"/>
  <c r="F38" i="15"/>
  <c r="F49" i="15" s="1"/>
  <c r="F56" i="15" s="1"/>
  <c r="E38" i="15"/>
  <c r="E49" i="15" s="1"/>
  <c r="E56" i="15" s="1"/>
  <c r="C38" i="15"/>
  <c r="C49" i="15" s="1"/>
  <c r="C56" i="15" s="1"/>
  <c r="B38" i="15"/>
  <c r="B49" i="15" s="1"/>
  <c r="M37" i="15"/>
  <c r="J37" i="15"/>
  <c r="G37" i="15"/>
  <c r="D37" i="15"/>
  <c r="M36" i="15"/>
  <c r="J36" i="15"/>
  <c r="G36" i="15"/>
  <c r="D36" i="15"/>
  <c r="M35" i="15"/>
  <c r="J35" i="15"/>
  <c r="G35" i="15"/>
  <c r="D35" i="15"/>
  <c r="M34" i="15"/>
  <c r="J34" i="15"/>
  <c r="G34" i="15"/>
  <c r="D34" i="15"/>
  <c r="M33" i="15"/>
  <c r="M38" i="15" s="1"/>
  <c r="J33" i="15"/>
  <c r="G33" i="15"/>
  <c r="G38" i="15" s="1"/>
  <c r="D33" i="15"/>
  <c r="L28" i="15"/>
  <c r="L58" i="15" s="1"/>
  <c r="K28" i="15"/>
  <c r="K58" i="15" s="1"/>
  <c r="I28" i="15"/>
  <c r="I58" i="15" s="1"/>
  <c r="H28" i="15"/>
  <c r="H58" i="15" s="1"/>
  <c r="F28" i="15"/>
  <c r="F58" i="15" s="1"/>
  <c r="E28" i="15"/>
  <c r="E58" i="15" s="1"/>
  <c r="C28" i="15"/>
  <c r="C58" i="15" s="1"/>
  <c r="C57" i="15" s="1"/>
  <c r="B28" i="15"/>
  <c r="M27" i="15"/>
  <c r="J27" i="15"/>
  <c r="G27" i="15"/>
  <c r="D27" i="15"/>
  <c r="M26" i="15"/>
  <c r="J26" i="15"/>
  <c r="G26" i="15"/>
  <c r="D26" i="15"/>
  <c r="M25" i="15"/>
  <c r="M28" i="15" s="1"/>
  <c r="M58" i="15" s="1"/>
  <c r="J25" i="15"/>
  <c r="G25" i="15"/>
  <c r="D25" i="15"/>
  <c r="L22" i="15"/>
  <c r="K22" i="15"/>
  <c r="I22" i="15"/>
  <c r="I30" i="15" s="1"/>
  <c r="H22" i="15"/>
  <c r="F22" i="15"/>
  <c r="E22" i="15"/>
  <c r="E30" i="15" s="1"/>
  <c r="C22" i="15"/>
  <c r="B22" i="15"/>
  <c r="M21" i="15"/>
  <c r="J21" i="15"/>
  <c r="G21" i="15"/>
  <c r="D21" i="15"/>
  <c r="M20" i="15"/>
  <c r="J20" i="15"/>
  <c r="G20" i="15"/>
  <c r="D20" i="15"/>
  <c r="M19" i="15"/>
  <c r="J19" i="15"/>
  <c r="G19" i="15"/>
  <c r="D19" i="15"/>
  <c r="M18" i="15"/>
  <c r="J18" i="15"/>
  <c r="G18" i="15"/>
  <c r="D18" i="15"/>
  <c r="M17" i="15"/>
  <c r="J17" i="15"/>
  <c r="G17" i="15"/>
  <c r="G22" i="15" s="1"/>
  <c r="D17" i="15"/>
  <c r="L14" i="15"/>
  <c r="K14" i="15"/>
  <c r="I14" i="15"/>
  <c r="H14" i="15"/>
  <c r="F14" i="15"/>
  <c r="E14" i="15"/>
  <c r="C14" i="15"/>
  <c r="B14" i="15"/>
  <c r="M13" i="15"/>
  <c r="J13" i="15"/>
  <c r="G13" i="15"/>
  <c r="D13" i="15"/>
  <c r="M12" i="15"/>
  <c r="J12" i="15"/>
  <c r="G12" i="15"/>
  <c r="D12" i="15"/>
  <c r="M11" i="15"/>
  <c r="J11" i="15"/>
  <c r="G11" i="15"/>
  <c r="D11" i="15"/>
  <c r="M10" i="15"/>
  <c r="J10" i="15"/>
  <c r="G10" i="15"/>
  <c r="D10" i="15"/>
  <c r="M9" i="15"/>
  <c r="J9" i="15"/>
  <c r="G9" i="15"/>
  <c r="D9" i="15"/>
  <c r="M8" i="15"/>
  <c r="J8" i="15"/>
  <c r="J14" i="15" s="1"/>
  <c r="G8" i="15"/>
  <c r="G14" i="15" s="1"/>
  <c r="D8" i="15"/>
  <c r="I58" i="14"/>
  <c r="E58" i="14"/>
  <c r="I54" i="14"/>
  <c r="H54" i="14"/>
  <c r="J54" i="14" s="1"/>
  <c r="F54" i="14"/>
  <c r="E54" i="14"/>
  <c r="D54" i="14"/>
  <c r="C54" i="14"/>
  <c r="B54" i="14"/>
  <c r="J53" i="14"/>
  <c r="G53" i="14"/>
  <c r="D53" i="14"/>
  <c r="J52" i="14"/>
  <c r="G52" i="14"/>
  <c r="G54" i="14" s="1"/>
  <c r="D52" i="14"/>
  <c r="J51" i="14"/>
  <c r="G51" i="14"/>
  <c r="D51" i="14"/>
  <c r="J47" i="14"/>
  <c r="I47" i="14"/>
  <c r="H47" i="14"/>
  <c r="F47" i="14"/>
  <c r="E47" i="14"/>
  <c r="C47" i="14"/>
  <c r="B47" i="14"/>
  <c r="J46" i="14"/>
  <c r="G46" i="14"/>
  <c r="K46" i="14" s="1"/>
  <c r="F46" i="7" s="1"/>
  <c r="D46" i="14"/>
  <c r="J45" i="14"/>
  <c r="G45" i="14"/>
  <c r="K45" i="14" s="1"/>
  <c r="F45" i="7" s="1"/>
  <c r="D45" i="14"/>
  <c r="J44" i="14"/>
  <c r="G44" i="14"/>
  <c r="K44" i="14" s="1"/>
  <c r="D44" i="14"/>
  <c r="J43" i="14"/>
  <c r="G43" i="14"/>
  <c r="K43" i="14" s="1"/>
  <c r="F43" i="7" s="1"/>
  <c r="D43" i="14"/>
  <c r="J42" i="14"/>
  <c r="G42" i="14"/>
  <c r="K42" i="14" s="1"/>
  <c r="F42" i="7" s="1"/>
  <c r="D42" i="14"/>
  <c r="G41" i="14"/>
  <c r="D41" i="14"/>
  <c r="J38" i="14"/>
  <c r="J49" i="14" s="1"/>
  <c r="J56" i="14" s="1"/>
  <c r="I38" i="14"/>
  <c r="I49" i="14" s="1"/>
  <c r="I56" i="14" s="1"/>
  <c r="H38" i="14"/>
  <c r="H49" i="14" s="1"/>
  <c r="H56" i="14" s="1"/>
  <c r="F38" i="14"/>
  <c r="F49" i="14" s="1"/>
  <c r="F56" i="14" s="1"/>
  <c r="E38" i="14"/>
  <c r="C38" i="14"/>
  <c r="B38" i="14"/>
  <c r="B49" i="14" s="1"/>
  <c r="B56" i="14" s="1"/>
  <c r="J37" i="14"/>
  <c r="G37" i="14"/>
  <c r="D37" i="14"/>
  <c r="J36" i="14"/>
  <c r="G36" i="14"/>
  <c r="D36" i="14"/>
  <c r="J35" i="14"/>
  <c r="G35" i="14"/>
  <c r="D35" i="14"/>
  <c r="J34" i="14"/>
  <c r="G34" i="14"/>
  <c r="D34" i="14"/>
  <c r="J33" i="14"/>
  <c r="G33" i="14"/>
  <c r="D33" i="14"/>
  <c r="K32" i="14"/>
  <c r="I28" i="14"/>
  <c r="H28" i="14"/>
  <c r="H58" i="14" s="1"/>
  <c r="H57" i="14" s="1"/>
  <c r="F28" i="14"/>
  <c r="F58" i="14" s="1"/>
  <c r="F57" i="14" s="1"/>
  <c r="E28" i="14"/>
  <c r="C28" i="14"/>
  <c r="C58" i="14" s="1"/>
  <c r="B28" i="14"/>
  <c r="J27" i="14"/>
  <c r="G27" i="14"/>
  <c r="D27" i="14"/>
  <c r="K27" i="14" s="1"/>
  <c r="F27" i="7" s="1"/>
  <c r="J26" i="14"/>
  <c r="G26" i="14"/>
  <c r="D26" i="14"/>
  <c r="J25" i="14"/>
  <c r="J28" i="14" s="1"/>
  <c r="J58" i="14" s="1"/>
  <c r="J57" i="14" s="1"/>
  <c r="G25" i="14"/>
  <c r="G28" i="14" s="1"/>
  <c r="G58" i="14" s="1"/>
  <c r="D25" i="14"/>
  <c r="I22" i="14"/>
  <c r="I30" i="14" s="1"/>
  <c r="H22" i="14"/>
  <c r="H30" i="14" s="1"/>
  <c r="F22" i="14"/>
  <c r="E22" i="14"/>
  <c r="E30" i="14" s="1"/>
  <c r="D22" i="14"/>
  <c r="C22" i="14"/>
  <c r="C30" i="14" s="1"/>
  <c r="B22" i="14"/>
  <c r="J21" i="14"/>
  <c r="K21" i="14" s="1"/>
  <c r="F21" i="7" s="1"/>
  <c r="G21" i="14"/>
  <c r="D21" i="14"/>
  <c r="J20" i="14"/>
  <c r="K20" i="14" s="1"/>
  <c r="G20" i="14"/>
  <c r="D20" i="14"/>
  <c r="J19" i="14"/>
  <c r="K19" i="14" s="1"/>
  <c r="F19" i="7" s="1"/>
  <c r="G19" i="14"/>
  <c r="D19" i="14"/>
  <c r="J18" i="14"/>
  <c r="K18" i="14" s="1"/>
  <c r="G18" i="14"/>
  <c r="D18" i="14"/>
  <c r="J17" i="14"/>
  <c r="G17" i="14"/>
  <c r="G22" i="14" s="1"/>
  <c r="D17" i="14"/>
  <c r="I14" i="14"/>
  <c r="H14" i="14"/>
  <c r="F14" i="14"/>
  <c r="E14" i="14"/>
  <c r="E32" i="14" s="1"/>
  <c r="C14" i="14"/>
  <c r="B14" i="14"/>
  <c r="J13" i="14"/>
  <c r="G13" i="14"/>
  <c r="D13" i="14"/>
  <c r="J12" i="14"/>
  <c r="G12" i="14"/>
  <c r="K12" i="14" s="1"/>
  <c r="F12" i="7" s="1"/>
  <c r="D12" i="14"/>
  <c r="J11" i="14"/>
  <c r="G11" i="14"/>
  <c r="D11" i="14"/>
  <c r="J10" i="14"/>
  <c r="G10" i="14"/>
  <c r="D10" i="14"/>
  <c r="K9" i="14"/>
  <c r="F9" i="7" s="1"/>
  <c r="J9" i="14"/>
  <c r="G9" i="14"/>
  <c r="D9" i="14"/>
  <c r="K8" i="14"/>
  <c r="F8" i="7" s="1"/>
  <c r="J8" i="14"/>
  <c r="G8" i="14"/>
  <c r="D8" i="14"/>
  <c r="B58" i="13"/>
  <c r="B57" i="13" s="1"/>
  <c r="B56" i="13"/>
  <c r="E54" i="13"/>
  <c r="C54" i="13"/>
  <c r="D54" i="13" s="1"/>
  <c r="F54" i="13" s="1"/>
  <c r="B54" i="13"/>
  <c r="F53" i="13"/>
  <c r="C53" i="7" s="1"/>
  <c r="D53" i="13"/>
  <c r="F52" i="13"/>
  <c r="C52" i="7" s="1"/>
  <c r="D52" i="13"/>
  <c r="F51" i="13"/>
  <c r="C51" i="7" s="1"/>
  <c r="D51" i="13"/>
  <c r="C49" i="13"/>
  <c r="C56" i="13" s="1"/>
  <c r="E47" i="13"/>
  <c r="C47" i="13"/>
  <c r="B47" i="13"/>
  <c r="F46" i="13"/>
  <c r="D45" i="13"/>
  <c r="F45" i="13" s="1"/>
  <c r="C45" i="7" s="1"/>
  <c r="D44" i="13"/>
  <c r="F44" i="13" s="1"/>
  <c r="C44" i="7" s="1"/>
  <c r="D43" i="13"/>
  <c r="F43" i="13" s="1"/>
  <c r="C43" i="7" s="1"/>
  <c r="D42" i="13"/>
  <c r="F42" i="13" s="1"/>
  <c r="F41" i="13"/>
  <c r="E38" i="13"/>
  <c r="E49" i="13" s="1"/>
  <c r="E56" i="13" s="1"/>
  <c r="C38" i="13"/>
  <c r="B38" i="13"/>
  <c r="B49" i="13" s="1"/>
  <c r="D37" i="13"/>
  <c r="F37" i="13" s="1"/>
  <c r="F36" i="13"/>
  <c r="D36" i="13"/>
  <c r="D35" i="13"/>
  <c r="F35" i="13" s="1"/>
  <c r="D34" i="13"/>
  <c r="D38" i="13" s="1"/>
  <c r="D33" i="13"/>
  <c r="F33" i="13" s="1"/>
  <c r="E28" i="13"/>
  <c r="E58" i="13" s="1"/>
  <c r="C28" i="13"/>
  <c r="C58" i="13" s="1"/>
  <c r="C57" i="13" s="1"/>
  <c r="B28" i="13"/>
  <c r="D27" i="13"/>
  <c r="F27" i="13" s="1"/>
  <c r="F26" i="13"/>
  <c r="C26" i="7" s="1"/>
  <c r="D26" i="13"/>
  <c r="D25" i="13"/>
  <c r="F25" i="13" s="1"/>
  <c r="C25" i="7" s="1"/>
  <c r="E22" i="13"/>
  <c r="C22" i="13"/>
  <c r="C30" i="13" s="1"/>
  <c r="C31" i="13" s="1"/>
  <c r="B22" i="13"/>
  <c r="D21" i="13"/>
  <c r="F21" i="13" s="1"/>
  <c r="D20" i="13"/>
  <c r="F20" i="13" s="1"/>
  <c r="C20" i="7" s="1"/>
  <c r="D19" i="13"/>
  <c r="F19" i="13" s="1"/>
  <c r="C19" i="7" s="1"/>
  <c r="D18" i="13"/>
  <c r="F18" i="13" s="1"/>
  <c r="D17" i="13"/>
  <c r="F17" i="13" s="1"/>
  <c r="E14" i="13"/>
  <c r="C14" i="13"/>
  <c r="B14" i="13"/>
  <c r="F13" i="13"/>
  <c r="D13" i="13"/>
  <c r="D12" i="13"/>
  <c r="F12" i="13" s="1"/>
  <c r="F11" i="13"/>
  <c r="C11" i="7" s="1"/>
  <c r="D11" i="13"/>
  <c r="D10" i="13"/>
  <c r="F10" i="13" s="1"/>
  <c r="C10" i="7" s="1"/>
  <c r="F9" i="13"/>
  <c r="D9" i="13"/>
  <c r="D8" i="13"/>
  <c r="F8" i="13" s="1"/>
  <c r="A3" i="13"/>
  <c r="A3" i="14" s="1"/>
  <c r="A3" i="15" s="1"/>
  <c r="A3" i="16" s="1"/>
  <c r="A3" i="12" s="1"/>
  <c r="A3" i="17" s="1"/>
  <c r="A3" i="18" s="1"/>
  <c r="A3" i="19" s="1"/>
  <c r="A3" i="20" s="1"/>
  <c r="A3" i="21" s="1"/>
  <c r="A3" i="22" s="1"/>
  <c r="A3" i="24" s="1"/>
  <c r="G58" i="11"/>
  <c r="F58" i="11"/>
  <c r="F57" i="11" s="1"/>
  <c r="C58" i="11"/>
  <c r="B57" i="11"/>
  <c r="F56" i="11"/>
  <c r="G54" i="11"/>
  <c r="H54" i="11" s="1"/>
  <c r="F54" i="11"/>
  <c r="E54" i="11"/>
  <c r="C54" i="11"/>
  <c r="D54" i="11" s="1"/>
  <c r="I54" i="11" s="1"/>
  <c r="E54" i="7" s="1"/>
  <c r="B54" i="11"/>
  <c r="H53" i="11"/>
  <c r="D53" i="11"/>
  <c r="I53" i="11" s="1"/>
  <c r="E53" i="7" s="1"/>
  <c r="I52" i="11"/>
  <c r="E52" i="7" s="1"/>
  <c r="H52" i="11"/>
  <c r="D52" i="11"/>
  <c r="H51" i="11"/>
  <c r="I51" i="11" s="1"/>
  <c r="E51" i="7" s="1"/>
  <c r="D51" i="11"/>
  <c r="G49" i="11"/>
  <c r="C49" i="11"/>
  <c r="C56" i="11" s="1"/>
  <c r="C57" i="11" s="1"/>
  <c r="G47" i="11"/>
  <c r="F47" i="11"/>
  <c r="E47" i="11"/>
  <c r="C47" i="11"/>
  <c r="B47" i="11"/>
  <c r="I46" i="11"/>
  <c r="E46" i="7" s="1"/>
  <c r="I45" i="11"/>
  <c r="H45" i="11"/>
  <c r="D45" i="11"/>
  <c r="I44" i="11"/>
  <c r="E44" i="7" s="1"/>
  <c r="I42" i="11"/>
  <c r="E42" i="7" s="1"/>
  <c r="H42" i="11"/>
  <c r="D42" i="11"/>
  <c r="D41" i="11"/>
  <c r="G38" i="11"/>
  <c r="F38" i="11"/>
  <c r="F49" i="11" s="1"/>
  <c r="E38" i="11"/>
  <c r="E49" i="11" s="1"/>
  <c r="E56" i="11" s="1"/>
  <c r="C38" i="11"/>
  <c r="B38" i="11"/>
  <c r="B49" i="11" s="1"/>
  <c r="B56" i="11" s="1"/>
  <c r="I37" i="11"/>
  <c r="E37" i="7" s="1"/>
  <c r="H37" i="11"/>
  <c r="D37" i="11"/>
  <c r="H36" i="11"/>
  <c r="D36" i="11"/>
  <c r="I36" i="11" s="1"/>
  <c r="E36" i="7" s="1"/>
  <c r="H35" i="11"/>
  <c r="D35" i="11"/>
  <c r="I35" i="11" s="1"/>
  <c r="I34" i="11"/>
  <c r="H34" i="11"/>
  <c r="D34" i="11"/>
  <c r="H33" i="11"/>
  <c r="I33" i="11" s="1"/>
  <c r="D33" i="11"/>
  <c r="F31" i="11"/>
  <c r="F30" i="11"/>
  <c r="G28" i="11"/>
  <c r="F28" i="11"/>
  <c r="E28" i="11"/>
  <c r="E58" i="11" s="1"/>
  <c r="E57" i="11" s="1"/>
  <c r="C28" i="11"/>
  <c r="B28" i="11"/>
  <c r="B58" i="11" s="1"/>
  <c r="I27" i="11"/>
  <c r="D53" i="1" s="1"/>
  <c r="D61" i="2" s="1"/>
  <c r="H27" i="11"/>
  <c r="D27" i="11"/>
  <c r="H26" i="11"/>
  <c r="H28" i="11" s="1"/>
  <c r="H58" i="11" s="1"/>
  <c r="D26" i="11"/>
  <c r="I26" i="11" s="1"/>
  <c r="E26" i="7" s="1"/>
  <c r="H25" i="11"/>
  <c r="D25" i="11"/>
  <c r="I25" i="11" s="1"/>
  <c r="G22" i="11"/>
  <c r="G30" i="11" s="1"/>
  <c r="F22" i="11"/>
  <c r="E22" i="11"/>
  <c r="C22" i="11"/>
  <c r="C30" i="11" s="1"/>
  <c r="B22" i="11"/>
  <c r="B30" i="11" s="1"/>
  <c r="H21" i="11"/>
  <c r="D21" i="11"/>
  <c r="I21" i="11" s="1"/>
  <c r="I20" i="11"/>
  <c r="H20" i="11"/>
  <c r="D20" i="11"/>
  <c r="H19" i="11"/>
  <c r="I19" i="11" s="1"/>
  <c r="D19" i="11"/>
  <c r="H18" i="11"/>
  <c r="D18" i="11"/>
  <c r="I18" i="11" s="1"/>
  <c r="E18" i="7" s="1"/>
  <c r="I17" i="11"/>
  <c r="H17" i="11"/>
  <c r="D17" i="11"/>
  <c r="G14" i="11"/>
  <c r="F14" i="11"/>
  <c r="E14" i="11"/>
  <c r="C14" i="11"/>
  <c r="B14" i="11"/>
  <c r="B31" i="11" s="1"/>
  <c r="H13" i="11"/>
  <c r="D13" i="11"/>
  <c r="I13" i="11" s="1"/>
  <c r="E13" i="7" s="1"/>
  <c r="H12" i="11"/>
  <c r="D12" i="11"/>
  <c r="D14" i="11" s="1"/>
  <c r="H11" i="11"/>
  <c r="D11" i="11"/>
  <c r="I11" i="11" s="1"/>
  <c r="E11" i="7" s="1"/>
  <c r="I10" i="11"/>
  <c r="E10" i="7" s="1"/>
  <c r="H10" i="11"/>
  <c r="D10" i="11"/>
  <c r="H9" i="11"/>
  <c r="D9" i="11"/>
  <c r="H8" i="11"/>
  <c r="H14" i="11" s="1"/>
  <c r="D8" i="11"/>
  <c r="A3" i="11"/>
  <c r="P58" i="10"/>
  <c r="O58" i="10"/>
  <c r="K58" i="10"/>
  <c r="F58" i="10"/>
  <c r="B58" i="10"/>
  <c r="R55" i="10"/>
  <c r="P54" i="10"/>
  <c r="O54" i="10"/>
  <c r="N54" i="10"/>
  <c r="M54" i="10"/>
  <c r="L54" i="10"/>
  <c r="K54" i="10"/>
  <c r="J54" i="10"/>
  <c r="I54" i="10"/>
  <c r="H54" i="10"/>
  <c r="F54" i="10"/>
  <c r="G54" i="10" s="1"/>
  <c r="E54" i="10"/>
  <c r="C54" i="10"/>
  <c r="B54" i="10"/>
  <c r="Q53" i="10"/>
  <c r="N53" i="10"/>
  <c r="J53" i="10"/>
  <c r="G53" i="10"/>
  <c r="D53" i="10"/>
  <c r="Q52" i="10"/>
  <c r="N52" i="10"/>
  <c r="J52" i="10"/>
  <c r="G52" i="10"/>
  <c r="D52" i="10"/>
  <c r="R52" i="10" s="1"/>
  <c r="D52" i="7" s="1"/>
  <c r="Q51" i="10"/>
  <c r="N51" i="10"/>
  <c r="J51" i="10"/>
  <c r="G51" i="10"/>
  <c r="D51" i="10"/>
  <c r="R51" i="10" s="1"/>
  <c r="D51" i="7" s="1"/>
  <c r="R50" i="10"/>
  <c r="P49" i="10"/>
  <c r="L49" i="10"/>
  <c r="L56" i="10" s="1"/>
  <c r="H49" i="10"/>
  <c r="H56" i="10" s="1"/>
  <c r="F49" i="10"/>
  <c r="F56" i="10" s="1"/>
  <c r="F57" i="10" s="1"/>
  <c r="R48" i="10"/>
  <c r="P47" i="10"/>
  <c r="O47" i="10"/>
  <c r="M47" i="10"/>
  <c r="M49" i="10" s="1"/>
  <c r="M56" i="10" s="1"/>
  <c r="L47" i="10"/>
  <c r="K47" i="10"/>
  <c r="J47" i="10"/>
  <c r="I47" i="10"/>
  <c r="H47" i="10"/>
  <c r="F47" i="10"/>
  <c r="E47" i="10"/>
  <c r="C47" i="10"/>
  <c r="B47" i="10"/>
  <c r="Q46" i="10"/>
  <c r="N46" i="10"/>
  <c r="R46" i="10" s="1"/>
  <c r="J46" i="10"/>
  <c r="G46" i="10"/>
  <c r="D46" i="10"/>
  <c r="Q45" i="10"/>
  <c r="R45" i="10" s="1"/>
  <c r="D45" i="7" s="1"/>
  <c r="N45" i="10"/>
  <c r="J45" i="10"/>
  <c r="G45" i="10"/>
  <c r="D45" i="10"/>
  <c r="Q44" i="10"/>
  <c r="N44" i="10"/>
  <c r="R44" i="10" s="1"/>
  <c r="J44" i="10"/>
  <c r="G44" i="10"/>
  <c r="D44" i="10"/>
  <c r="R43" i="10"/>
  <c r="D43" i="7" s="1"/>
  <c r="Q43" i="10"/>
  <c r="N43" i="10"/>
  <c r="J43" i="10"/>
  <c r="G43" i="10"/>
  <c r="D43" i="10"/>
  <c r="Q42" i="10"/>
  <c r="N42" i="10"/>
  <c r="J42" i="10"/>
  <c r="G42" i="10"/>
  <c r="G47" i="10" s="1"/>
  <c r="D42" i="10"/>
  <c r="D47" i="10" s="1"/>
  <c r="R41" i="10"/>
  <c r="R40" i="10"/>
  <c r="R39" i="10"/>
  <c r="P38" i="10"/>
  <c r="O38" i="10"/>
  <c r="O49" i="10" s="1"/>
  <c r="M38" i="10"/>
  <c r="L38" i="10"/>
  <c r="K38" i="10"/>
  <c r="K49" i="10" s="1"/>
  <c r="K56" i="10" s="1"/>
  <c r="K57" i="10" s="1"/>
  <c r="I38" i="10"/>
  <c r="H38" i="10"/>
  <c r="F38" i="10"/>
  <c r="E38" i="10"/>
  <c r="C38" i="10"/>
  <c r="B38" i="10"/>
  <c r="B49" i="10" s="1"/>
  <c r="B56" i="10" s="1"/>
  <c r="B57" i="10" s="1"/>
  <c r="Q37" i="10"/>
  <c r="N37" i="10"/>
  <c r="J37" i="10"/>
  <c r="G37" i="10"/>
  <c r="G38" i="10" s="1"/>
  <c r="G49" i="10" s="1"/>
  <c r="D37" i="10"/>
  <c r="Q36" i="10"/>
  <c r="N36" i="10"/>
  <c r="J36" i="10"/>
  <c r="G36" i="10"/>
  <c r="R36" i="10" s="1"/>
  <c r="D36" i="7" s="1"/>
  <c r="D36" i="10"/>
  <c r="Q35" i="10"/>
  <c r="N35" i="10"/>
  <c r="J35" i="10"/>
  <c r="G35" i="10"/>
  <c r="R35" i="10" s="1"/>
  <c r="D35" i="7" s="1"/>
  <c r="D35" i="10"/>
  <c r="Q34" i="10"/>
  <c r="N34" i="10"/>
  <c r="J34" i="10"/>
  <c r="G34" i="10"/>
  <c r="D34" i="10"/>
  <c r="Q33" i="10"/>
  <c r="N33" i="10"/>
  <c r="N38" i="10" s="1"/>
  <c r="J33" i="10"/>
  <c r="J38" i="10" s="1"/>
  <c r="J49" i="10" s="1"/>
  <c r="J56" i="10" s="1"/>
  <c r="G33" i="10"/>
  <c r="D33" i="10"/>
  <c r="R32" i="10"/>
  <c r="O30" i="10"/>
  <c r="F30" i="10"/>
  <c r="E30" i="10"/>
  <c r="P28" i="10"/>
  <c r="O28" i="10"/>
  <c r="M28" i="10"/>
  <c r="L28" i="10"/>
  <c r="L58" i="10" s="1"/>
  <c r="L57" i="10" s="1"/>
  <c r="K28" i="10"/>
  <c r="I28" i="10"/>
  <c r="I58" i="10" s="1"/>
  <c r="H28" i="10"/>
  <c r="H58" i="10" s="1"/>
  <c r="H57" i="10" s="1"/>
  <c r="F28" i="10"/>
  <c r="E28" i="10"/>
  <c r="E58" i="10" s="1"/>
  <c r="C28" i="10"/>
  <c r="C30" i="10" s="1"/>
  <c r="B28" i="10"/>
  <c r="Q27" i="10"/>
  <c r="N27" i="10"/>
  <c r="J27" i="10"/>
  <c r="G27" i="10"/>
  <c r="D27" i="10"/>
  <c r="Q26" i="10"/>
  <c r="N26" i="10"/>
  <c r="J26" i="10"/>
  <c r="G26" i="10"/>
  <c r="D26" i="10"/>
  <c r="R26" i="10" s="1"/>
  <c r="D26" i="7" s="1"/>
  <c r="Q25" i="10"/>
  <c r="Q28" i="10" s="1"/>
  <c r="Q58" i="10" s="1"/>
  <c r="N25" i="10"/>
  <c r="J25" i="10"/>
  <c r="G25" i="10"/>
  <c r="G28" i="10" s="1"/>
  <c r="G58" i="10" s="1"/>
  <c r="D25" i="10"/>
  <c r="Q22" i="10"/>
  <c r="P22" i="10"/>
  <c r="P30" i="10" s="1"/>
  <c r="P31" i="10" s="1"/>
  <c r="O22" i="10"/>
  <c r="M22" i="10"/>
  <c r="L22" i="10"/>
  <c r="L30" i="10" s="1"/>
  <c r="L31" i="10" s="1"/>
  <c r="K22" i="10"/>
  <c r="K30" i="10" s="1"/>
  <c r="I22" i="10"/>
  <c r="I30" i="10" s="1"/>
  <c r="I31" i="10" s="1"/>
  <c r="H22" i="10"/>
  <c r="F22" i="10"/>
  <c r="E22" i="10"/>
  <c r="C22" i="10"/>
  <c r="B22" i="10"/>
  <c r="B30" i="10" s="1"/>
  <c r="R21" i="10"/>
  <c r="D21" i="7" s="1"/>
  <c r="Q21" i="10"/>
  <c r="N21" i="10"/>
  <c r="J21" i="10"/>
  <c r="G21" i="10"/>
  <c r="D21" i="10"/>
  <c r="Q20" i="10"/>
  <c r="N20" i="10"/>
  <c r="R20" i="10" s="1"/>
  <c r="D20" i="7" s="1"/>
  <c r="J20" i="10"/>
  <c r="G20" i="10"/>
  <c r="D20" i="10"/>
  <c r="R19" i="10"/>
  <c r="D19" i="7" s="1"/>
  <c r="Q19" i="10"/>
  <c r="N19" i="10"/>
  <c r="J19" i="10"/>
  <c r="G19" i="10"/>
  <c r="D19" i="10"/>
  <c r="Q18" i="10"/>
  <c r="N18" i="10"/>
  <c r="R18" i="10" s="1"/>
  <c r="J18" i="10"/>
  <c r="G18" i="10"/>
  <c r="D18" i="10"/>
  <c r="R17" i="10"/>
  <c r="Q17" i="10"/>
  <c r="N17" i="10"/>
  <c r="J17" i="10"/>
  <c r="J22" i="10" s="1"/>
  <c r="G17" i="10"/>
  <c r="D17" i="10"/>
  <c r="D22" i="10" s="1"/>
  <c r="P14" i="10"/>
  <c r="O14" i="10"/>
  <c r="M14" i="10"/>
  <c r="L14" i="10"/>
  <c r="K14" i="10"/>
  <c r="I14" i="10"/>
  <c r="H14" i="10"/>
  <c r="F14" i="10"/>
  <c r="F31" i="10" s="1"/>
  <c r="E14" i="10"/>
  <c r="C14" i="10"/>
  <c r="B14" i="10"/>
  <c r="B31" i="10" s="1"/>
  <c r="Q13" i="10"/>
  <c r="N13" i="10"/>
  <c r="J13" i="10"/>
  <c r="G13" i="10"/>
  <c r="G14" i="10" s="1"/>
  <c r="D13" i="10"/>
  <c r="Q12" i="10"/>
  <c r="N12" i="10"/>
  <c r="J12" i="10"/>
  <c r="G12" i="10"/>
  <c r="D12" i="10"/>
  <c r="Q11" i="10"/>
  <c r="N11" i="10"/>
  <c r="J11" i="10"/>
  <c r="G11" i="10"/>
  <c r="D11" i="10"/>
  <c r="Q10" i="10"/>
  <c r="N10" i="10"/>
  <c r="J10" i="10"/>
  <c r="G10" i="10"/>
  <c r="D10" i="10"/>
  <c r="R10" i="10" s="1"/>
  <c r="D10" i="7" s="1"/>
  <c r="Q9" i="10"/>
  <c r="N9" i="10"/>
  <c r="J9" i="10"/>
  <c r="G9" i="10"/>
  <c r="D9" i="10"/>
  <c r="Q8" i="10"/>
  <c r="N8" i="10"/>
  <c r="N14" i="10" s="1"/>
  <c r="J8" i="10"/>
  <c r="G8" i="10"/>
  <c r="D8" i="10"/>
  <c r="R8" i="10" s="1"/>
  <c r="D8" i="7" s="1"/>
  <c r="A3" i="10"/>
  <c r="C58" i="9"/>
  <c r="F54" i="9"/>
  <c r="E54" i="9"/>
  <c r="C54" i="9"/>
  <c r="B54" i="9"/>
  <c r="D54" i="9" s="1"/>
  <c r="D53" i="9"/>
  <c r="F53" i="9" s="1"/>
  <c r="B53" i="7" s="1"/>
  <c r="D52" i="9"/>
  <c r="F52" i="9" s="1"/>
  <c r="B52" i="7" s="1"/>
  <c r="F51" i="9"/>
  <c r="D51" i="9"/>
  <c r="E47" i="9"/>
  <c r="F47" i="9" s="1"/>
  <c r="B47" i="7" s="1"/>
  <c r="C47" i="9"/>
  <c r="C49" i="9" s="1"/>
  <c r="C56" i="9" s="1"/>
  <c r="B47" i="9"/>
  <c r="F46" i="9"/>
  <c r="B46" i="7" s="1"/>
  <c r="D46" i="9"/>
  <c r="D45" i="9"/>
  <c r="F45" i="9" s="1"/>
  <c r="B45" i="7" s="1"/>
  <c r="F44" i="9"/>
  <c r="D44" i="9"/>
  <c r="D43" i="9"/>
  <c r="F43" i="9" s="1"/>
  <c r="F42" i="9"/>
  <c r="D42" i="9"/>
  <c r="D41" i="9"/>
  <c r="D47" i="9" s="1"/>
  <c r="E38" i="9"/>
  <c r="E49" i="9" s="1"/>
  <c r="E56" i="9" s="1"/>
  <c r="C38" i="9"/>
  <c r="B38" i="9"/>
  <c r="B49" i="9" s="1"/>
  <c r="D37" i="9"/>
  <c r="F37" i="9" s="1"/>
  <c r="B37" i="7" s="1"/>
  <c r="D36" i="9"/>
  <c r="F36" i="9" s="1"/>
  <c r="B36" i="7" s="1"/>
  <c r="D35" i="9"/>
  <c r="F35" i="9" s="1"/>
  <c r="B35" i="7" s="1"/>
  <c r="D34" i="9"/>
  <c r="F34" i="9" s="1"/>
  <c r="D33" i="9"/>
  <c r="C30" i="9"/>
  <c r="E28" i="9"/>
  <c r="E58" i="9" s="1"/>
  <c r="C28" i="9"/>
  <c r="B28" i="9"/>
  <c r="B58" i="9" s="1"/>
  <c r="D27" i="9"/>
  <c r="F27" i="9" s="1"/>
  <c r="B27" i="7" s="1"/>
  <c r="D26" i="9"/>
  <c r="F26" i="9" s="1"/>
  <c r="D25" i="9"/>
  <c r="F25" i="9" s="1"/>
  <c r="B25" i="7" s="1"/>
  <c r="E22" i="9"/>
  <c r="E30" i="9" s="1"/>
  <c r="C22" i="9"/>
  <c r="B22" i="9"/>
  <c r="B30" i="9" s="1"/>
  <c r="D21" i="9"/>
  <c r="F21" i="9" s="1"/>
  <c r="B21" i="7" s="1"/>
  <c r="F20" i="9"/>
  <c r="D20" i="9"/>
  <c r="D19" i="9"/>
  <c r="F19" i="9" s="1"/>
  <c r="B19" i="7" s="1"/>
  <c r="F18" i="9"/>
  <c r="D18" i="9"/>
  <c r="D17" i="9"/>
  <c r="F17" i="9" s="1"/>
  <c r="B17" i="7" s="1"/>
  <c r="E14" i="9"/>
  <c r="E31" i="9" s="1"/>
  <c r="C14" i="9"/>
  <c r="B14" i="9"/>
  <c r="B31" i="9" s="1"/>
  <c r="D13" i="9"/>
  <c r="F13" i="9" s="1"/>
  <c r="B13" i="7" s="1"/>
  <c r="F12" i="9"/>
  <c r="B12" i="7" s="1"/>
  <c r="D12" i="9"/>
  <c r="D11" i="9"/>
  <c r="F11" i="9" s="1"/>
  <c r="B11" i="7" s="1"/>
  <c r="D10" i="9"/>
  <c r="F10" i="9" s="1"/>
  <c r="B10" i="7" s="1"/>
  <c r="F9" i="9"/>
  <c r="D9" i="9"/>
  <c r="D8" i="9"/>
  <c r="F8" i="9" s="1"/>
  <c r="B8" i="7" s="1"/>
  <c r="A3" i="9"/>
  <c r="AF76" i="8"/>
  <c r="AB76" i="8"/>
  <c r="S76" i="8"/>
  <c r="O76" i="8"/>
  <c r="N76" i="8"/>
  <c r="N75" i="8" s="1"/>
  <c r="L76" i="8"/>
  <c r="F76" i="8"/>
  <c r="C76" i="8"/>
  <c r="T75" i="8"/>
  <c r="E74" i="8"/>
  <c r="AF72" i="8"/>
  <c r="AE72" i="8"/>
  <c r="AD72" i="8"/>
  <c r="AB72" i="8"/>
  <c r="X72" i="8"/>
  <c r="W72" i="8"/>
  <c r="V72" i="8"/>
  <c r="T72" i="8"/>
  <c r="S72" i="8"/>
  <c r="U72" i="8" s="1"/>
  <c r="P72" i="8"/>
  <c r="O72" i="8"/>
  <c r="Q72" i="8" s="1"/>
  <c r="N72" i="8"/>
  <c r="M72" i="8"/>
  <c r="L72" i="8"/>
  <c r="K72" i="8"/>
  <c r="J72" i="8"/>
  <c r="I72" i="8"/>
  <c r="G72" i="8"/>
  <c r="F72" i="8"/>
  <c r="E72" i="8"/>
  <c r="C72" i="8"/>
  <c r="B72" i="8"/>
  <c r="AH71" i="8"/>
  <c r="AG71" i="8"/>
  <c r="AB71" i="8"/>
  <c r="AA71" i="8"/>
  <c r="Z71" i="8"/>
  <c r="X71" i="8"/>
  <c r="U71" i="8"/>
  <c r="R71" i="8"/>
  <c r="Q71" i="8"/>
  <c r="K71" i="8"/>
  <c r="D71" i="8"/>
  <c r="AH70" i="8"/>
  <c r="AG70" i="8"/>
  <c r="AB70" i="8"/>
  <c r="Z70" i="8"/>
  <c r="Y70" i="8"/>
  <c r="X70" i="8"/>
  <c r="U70" i="8"/>
  <c r="Q70" i="8"/>
  <c r="K70" i="8"/>
  <c r="AH69" i="8"/>
  <c r="AG69" i="8"/>
  <c r="AB69" i="8"/>
  <c r="X69" i="8"/>
  <c r="U69" i="8"/>
  <c r="Q69" i="8"/>
  <c r="K69" i="8"/>
  <c r="D69" i="8"/>
  <c r="Q68" i="8"/>
  <c r="K68" i="8"/>
  <c r="O67" i="8"/>
  <c r="O74" i="8" s="1"/>
  <c r="M67" i="8"/>
  <c r="M74" i="8" s="1"/>
  <c r="Q66" i="8"/>
  <c r="K66" i="8"/>
  <c r="AH65" i="8"/>
  <c r="AF65" i="8"/>
  <c r="AE65" i="8"/>
  <c r="AG65" i="8" s="1"/>
  <c r="AD65" i="8"/>
  <c r="Y65" i="8"/>
  <c r="W65" i="8"/>
  <c r="V65" i="8"/>
  <c r="T65" i="8"/>
  <c r="S65" i="8"/>
  <c r="P65" i="8"/>
  <c r="O65" i="8"/>
  <c r="N65" i="8"/>
  <c r="M65" i="8"/>
  <c r="L65" i="8"/>
  <c r="J65" i="8"/>
  <c r="I65" i="8"/>
  <c r="K65" i="8" s="1"/>
  <c r="G65" i="8"/>
  <c r="G67" i="8" s="1"/>
  <c r="G74" i="8" s="1"/>
  <c r="F65" i="8"/>
  <c r="E65" i="8"/>
  <c r="C65" i="8"/>
  <c r="B65" i="8"/>
  <c r="AH64" i="8"/>
  <c r="AG64" i="8"/>
  <c r="AB64" i="8"/>
  <c r="X64" i="8"/>
  <c r="U64" i="8"/>
  <c r="Q64" i="8"/>
  <c r="K64" i="8"/>
  <c r="AH63" i="8"/>
  <c r="AG63" i="8"/>
  <c r="AB63" i="8"/>
  <c r="Z63" i="8"/>
  <c r="X63" i="8"/>
  <c r="U63" i="8"/>
  <c r="R63" i="8"/>
  <c r="Q63" i="8"/>
  <c r="K63" i="8"/>
  <c r="AH62" i="8"/>
  <c r="AG62" i="8"/>
  <c r="AB62" i="8"/>
  <c r="Z62" i="8"/>
  <c r="Y62" i="8"/>
  <c r="X62" i="8"/>
  <c r="U62" i="8"/>
  <c r="Q62" i="8"/>
  <c r="K62" i="8"/>
  <c r="AG61" i="8"/>
  <c r="AB61" i="8"/>
  <c r="AA61" i="8"/>
  <c r="X61" i="8"/>
  <c r="U61" i="8"/>
  <c r="R61" i="8"/>
  <c r="Q61" i="8"/>
  <c r="K61" i="8"/>
  <c r="AH60" i="8"/>
  <c r="AG60" i="8"/>
  <c r="AB60" i="8"/>
  <c r="X60" i="8"/>
  <c r="U60" i="8"/>
  <c r="Q60" i="8"/>
  <c r="K60" i="8"/>
  <c r="AH59" i="8"/>
  <c r="AG59" i="8"/>
  <c r="AB59" i="8"/>
  <c r="Z59" i="8"/>
  <c r="Y59" i="8"/>
  <c r="X59" i="8"/>
  <c r="U59" i="8"/>
  <c r="Q59" i="8"/>
  <c r="K59" i="8"/>
  <c r="K58" i="8"/>
  <c r="K57" i="8"/>
  <c r="AF56" i="8"/>
  <c r="AE56" i="8"/>
  <c r="AD56" i="8"/>
  <c r="AD67" i="8" s="1"/>
  <c r="AD74" i="8" s="1"/>
  <c r="AB56" i="8"/>
  <c r="W56" i="8"/>
  <c r="W67" i="8" s="1"/>
  <c r="W74" i="8" s="1"/>
  <c r="V56" i="8"/>
  <c r="X56" i="8" s="1"/>
  <c r="T56" i="8"/>
  <c r="T67" i="8" s="1"/>
  <c r="T74" i="8" s="1"/>
  <c r="S56" i="8"/>
  <c r="P56" i="8"/>
  <c r="O56" i="8"/>
  <c r="N56" i="8"/>
  <c r="N67" i="8" s="1"/>
  <c r="N74" i="8" s="1"/>
  <c r="M56" i="8"/>
  <c r="L56" i="8"/>
  <c r="L67" i="8" s="1"/>
  <c r="L74" i="8" s="1"/>
  <c r="L75" i="8" s="1"/>
  <c r="J56" i="8"/>
  <c r="J67" i="8" s="1"/>
  <c r="J74" i="8" s="1"/>
  <c r="I56" i="8"/>
  <c r="G56" i="8"/>
  <c r="F56" i="8"/>
  <c r="F67" i="8" s="1"/>
  <c r="F74" i="8" s="1"/>
  <c r="E56" i="8"/>
  <c r="E67" i="8" s="1"/>
  <c r="C56" i="8"/>
  <c r="B56" i="8"/>
  <c r="AH55" i="8"/>
  <c r="AH170" i="3" s="1"/>
  <c r="AG55" i="8"/>
  <c r="AB55" i="8"/>
  <c r="AE170" i="3" s="1"/>
  <c r="AA55" i="8"/>
  <c r="AD170" i="3" s="1"/>
  <c r="Z55" i="8"/>
  <c r="AC170" i="3" s="1"/>
  <c r="X55" i="8"/>
  <c r="U55" i="8"/>
  <c r="R55" i="8"/>
  <c r="Y170" i="3" s="1"/>
  <c r="Q55" i="8"/>
  <c r="K55" i="8"/>
  <c r="AH54" i="8"/>
  <c r="AH171" i="3" s="1"/>
  <c r="AG54" i="8"/>
  <c r="AG171" i="3" s="1"/>
  <c r="AB54" i="8"/>
  <c r="AE171" i="3" s="1"/>
  <c r="AA54" i="8"/>
  <c r="AD171" i="3" s="1"/>
  <c r="Y54" i="8"/>
  <c r="X54" i="8"/>
  <c r="AA171" i="3" s="1"/>
  <c r="U54" i="8"/>
  <c r="R54" i="8"/>
  <c r="Y171" i="3" s="1"/>
  <c r="Q54" i="8"/>
  <c r="K54" i="8"/>
  <c r="U53" i="8"/>
  <c r="K53" i="8"/>
  <c r="T169" i="3" s="1"/>
  <c r="AG52" i="8"/>
  <c r="AG166" i="3" s="1"/>
  <c r="AB52" i="8"/>
  <c r="Y52" i="8"/>
  <c r="AB166" i="3" s="1"/>
  <c r="X52" i="8"/>
  <c r="U52" i="8"/>
  <c r="R52" i="8"/>
  <c r="Y166" i="3" s="1"/>
  <c r="Q52" i="8"/>
  <c r="X166" i="3" s="1"/>
  <c r="K52" i="8"/>
  <c r="AG51" i="8"/>
  <c r="AB51" i="8"/>
  <c r="Z51" i="8"/>
  <c r="AC167" i="3" s="1"/>
  <c r="X51" i="8"/>
  <c r="U51" i="8"/>
  <c r="Q51" i="8"/>
  <c r="X167" i="3" s="1"/>
  <c r="K51" i="8"/>
  <c r="D51" i="8"/>
  <c r="Q50" i="8"/>
  <c r="K50" i="8"/>
  <c r="AC49" i="8"/>
  <c r="H49" i="8"/>
  <c r="U48" i="8"/>
  <c r="T48" i="8"/>
  <c r="P48" i="8"/>
  <c r="Q48" i="8" s="1"/>
  <c r="F48" i="8"/>
  <c r="Q47" i="8"/>
  <c r="K47" i="8"/>
  <c r="AF46" i="8"/>
  <c r="AE46" i="8"/>
  <c r="AG46" i="8" s="1"/>
  <c r="AG76" i="8" s="1"/>
  <c r="AD46" i="8"/>
  <c r="AD76" i="8" s="1"/>
  <c r="AB46" i="8"/>
  <c r="W46" i="8"/>
  <c r="W76" i="8" s="1"/>
  <c r="W75" i="8" s="1"/>
  <c r="V46" i="8"/>
  <c r="U46" i="8"/>
  <c r="U76" i="8" s="1"/>
  <c r="T46" i="8"/>
  <c r="T76" i="8" s="1"/>
  <c r="S46" i="8"/>
  <c r="Q46" i="8"/>
  <c r="P46" i="8"/>
  <c r="P76" i="8" s="1"/>
  <c r="O46" i="8"/>
  <c r="N46" i="8"/>
  <c r="M46" i="8"/>
  <c r="M76" i="8" s="1"/>
  <c r="M75" i="8" s="1"/>
  <c r="L46" i="8"/>
  <c r="J46" i="8"/>
  <c r="J76" i="8" s="1"/>
  <c r="J75" i="8" s="1"/>
  <c r="I46" i="8"/>
  <c r="K46" i="8" s="1"/>
  <c r="G46" i="8"/>
  <c r="G76" i="8" s="1"/>
  <c r="F46" i="8"/>
  <c r="E46" i="8"/>
  <c r="C46" i="8"/>
  <c r="B46" i="8"/>
  <c r="B76" i="8" s="1"/>
  <c r="AH30" i="8"/>
  <c r="AI30" i="8" s="1"/>
  <c r="F41" i="1" s="1"/>
  <c r="G41" i="1" s="1"/>
  <c r="AG45" i="8"/>
  <c r="AB45" i="8"/>
  <c r="X45" i="8"/>
  <c r="U45" i="8"/>
  <c r="R45" i="8"/>
  <c r="Q45" i="8"/>
  <c r="K45" i="8"/>
  <c r="AH44" i="8"/>
  <c r="AG44" i="8"/>
  <c r="AB44" i="8"/>
  <c r="Y44" i="8"/>
  <c r="X44" i="8"/>
  <c r="U44" i="8"/>
  <c r="Q44" i="8"/>
  <c r="K44" i="8"/>
  <c r="AG43" i="8"/>
  <c r="AB43" i="8"/>
  <c r="Y43" i="8"/>
  <c r="X43" i="8"/>
  <c r="U43" i="8"/>
  <c r="Q43" i="8"/>
  <c r="K43" i="8"/>
  <c r="AH42" i="8"/>
  <c r="AG42" i="8"/>
  <c r="AB42" i="8"/>
  <c r="X42" i="8"/>
  <c r="U42" i="8"/>
  <c r="Q42" i="8"/>
  <c r="K42" i="8"/>
  <c r="D42" i="8"/>
  <c r="AH41" i="8"/>
  <c r="AG41" i="8"/>
  <c r="AB41" i="8"/>
  <c r="AA41" i="8"/>
  <c r="Z41" i="8"/>
  <c r="Y41" i="8"/>
  <c r="X41" i="8"/>
  <c r="U41" i="8"/>
  <c r="Q41" i="8"/>
  <c r="K41" i="8"/>
  <c r="AH40" i="8"/>
  <c r="AG40" i="8"/>
  <c r="AB40" i="8"/>
  <c r="Z40" i="8"/>
  <c r="Y40" i="8"/>
  <c r="X40" i="8"/>
  <c r="U40" i="8"/>
  <c r="R40" i="8"/>
  <c r="Q40" i="8"/>
  <c r="K40" i="8"/>
  <c r="AH39" i="8"/>
  <c r="AG39" i="8"/>
  <c r="AB39" i="8"/>
  <c r="Y39" i="8"/>
  <c r="X39" i="8"/>
  <c r="Q39" i="8"/>
  <c r="K39" i="8"/>
  <c r="AH38" i="8"/>
  <c r="AG38" i="8"/>
  <c r="AB38" i="8"/>
  <c r="X38" i="8"/>
  <c r="Q38" i="8"/>
  <c r="K38" i="8"/>
  <c r="D38" i="8"/>
  <c r="AH36" i="8"/>
  <c r="AG36" i="8"/>
  <c r="AB36" i="8"/>
  <c r="X36" i="8"/>
  <c r="Q36" i="8"/>
  <c r="K36" i="8"/>
  <c r="D36" i="8"/>
  <c r="AH35" i="8"/>
  <c r="AG35" i="8"/>
  <c r="AB35" i="8"/>
  <c r="AA35" i="8"/>
  <c r="Y35" i="8"/>
  <c r="X35" i="8"/>
  <c r="Q35" i="8"/>
  <c r="K35" i="8"/>
  <c r="D35" i="8"/>
  <c r="AH33" i="8"/>
  <c r="AG33" i="8"/>
  <c r="AB33" i="8"/>
  <c r="Y33" i="8"/>
  <c r="X33" i="8"/>
  <c r="Q33" i="8"/>
  <c r="K33" i="8"/>
  <c r="AH32" i="8"/>
  <c r="AG32" i="8"/>
  <c r="AB32" i="8"/>
  <c r="Y32" i="8"/>
  <c r="X32" i="8"/>
  <c r="Q32" i="8"/>
  <c r="K32" i="8"/>
  <c r="D32" i="8"/>
  <c r="AH31" i="8"/>
  <c r="AG31" i="8"/>
  <c r="AB31" i="8"/>
  <c r="AA31" i="8"/>
  <c r="Z31" i="8"/>
  <c r="Y31" i="8"/>
  <c r="X31" i="8"/>
  <c r="Q31" i="8"/>
  <c r="K31" i="8"/>
  <c r="D31" i="8"/>
  <c r="AH28" i="8"/>
  <c r="AG28" i="8"/>
  <c r="AB28" i="8"/>
  <c r="Y28" i="8"/>
  <c r="X28" i="8"/>
  <c r="Q28" i="8"/>
  <c r="K28" i="8"/>
  <c r="D28" i="8"/>
  <c r="AH27" i="8"/>
  <c r="AG27" i="8"/>
  <c r="AB27" i="8"/>
  <c r="Y27" i="8"/>
  <c r="X27" i="8"/>
  <c r="Q27" i="8"/>
  <c r="K27" i="8"/>
  <c r="AH26" i="8"/>
  <c r="AG26" i="8"/>
  <c r="AB26" i="8"/>
  <c r="Y26" i="8"/>
  <c r="X26" i="8"/>
  <c r="Q26" i="8"/>
  <c r="K26" i="8"/>
  <c r="D26" i="8"/>
  <c r="AH25" i="8"/>
  <c r="AG25" i="8"/>
  <c r="AB25" i="8"/>
  <c r="X25" i="8"/>
  <c r="Q25" i="8"/>
  <c r="K25" i="8"/>
  <c r="D25" i="8"/>
  <c r="Q24" i="8"/>
  <c r="K24" i="8"/>
  <c r="Q23" i="8"/>
  <c r="K23" i="8"/>
  <c r="Q22" i="8"/>
  <c r="K22" i="8"/>
  <c r="AF21" i="8"/>
  <c r="AF48" i="8" s="1"/>
  <c r="AE21" i="8"/>
  <c r="AD21" i="8"/>
  <c r="AB21" i="8"/>
  <c r="Z21" i="8"/>
  <c r="W21" i="8"/>
  <c r="W48" i="8" s="1"/>
  <c r="V21" i="8"/>
  <c r="X21" i="8" s="1"/>
  <c r="U21" i="8"/>
  <c r="T21" i="8"/>
  <c r="S21" i="8"/>
  <c r="S48" i="8" s="1"/>
  <c r="Q21" i="8"/>
  <c r="P21" i="8"/>
  <c r="O21" i="8"/>
  <c r="O48" i="8" s="1"/>
  <c r="N21" i="8"/>
  <c r="N48" i="8" s="1"/>
  <c r="M21" i="8"/>
  <c r="L21" i="8"/>
  <c r="L48" i="8" s="1"/>
  <c r="J21" i="8"/>
  <c r="J48" i="8" s="1"/>
  <c r="I21" i="8"/>
  <c r="G21" i="8"/>
  <c r="F21" i="8"/>
  <c r="E21" i="8"/>
  <c r="C21" i="8"/>
  <c r="C48" i="8" s="1"/>
  <c r="C49" i="8" s="1"/>
  <c r="B21" i="8"/>
  <c r="B48" i="8" s="1"/>
  <c r="B49" i="8" s="1"/>
  <c r="AH20" i="8"/>
  <c r="AG20" i="8"/>
  <c r="AB20" i="8"/>
  <c r="Y20" i="8"/>
  <c r="X20" i="8"/>
  <c r="U20" i="8"/>
  <c r="Q20" i="8"/>
  <c r="K20" i="8"/>
  <c r="AH19" i="8"/>
  <c r="AG19" i="8"/>
  <c r="AB19" i="8"/>
  <c r="X19" i="8"/>
  <c r="U19" i="8"/>
  <c r="Q19" i="8"/>
  <c r="K19" i="8"/>
  <c r="AH18" i="8"/>
  <c r="AG18" i="8"/>
  <c r="AB18" i="8"/>
  <c r="AA18" i="8"/>
  <c r="Z18" i="8"/>
  <c r="Y18" i="8"/>
  <c r="X18" i="8"/>
  <c r="U18" i="8"/>
  <c r="R18" i="8"/>
  <c r="Q18" i="8"/>
  <c r="K18" i="8"/>
  <c r="AH17" i="8"/>
  <c r="AG17" i="8"/>
  <c r="AB17" i="8"/>
  <c r="Z17" i="8"/>
  <c r="X17" i="8"/>
  <c r="U17" i="8"/>
  <c r="R17" i="8"/>
  <c r="Q17" i="8"/>
  <c r="K17" i="8"/>
  <c r="AG16" i="8"/>
  <c r="AB16" i="8"/>
  <c r="Z16" i="8"/>
  <c r="Y16" i="8"/>
  <c r="X16" i="8"/>
  <c r="U16" i="8"/>
  <c r="R16" i="8"/>
  <c r="Q16" i="8"/>
  <c r="K16" i="8"/>
  <c r="Q15" i="8"/>
  <c r="K15" i="8"/>
  <c r="Q14" i="8"/>
  <c r="K14" i="8"/>
  <c r="AF13" i="8"/>
  <c r="AE13" i="8"/>
  <c r="AD13" i="8"/>
  <c r="W13" i="8"/>
  <c r="W49" i="8" s="1"/>
  <c r="V13" i="8"/>
  <c r="T13" i="8"/>
  <c r="T49" i="8" s="1"/>
  <c r="S13" i="8"/>
  <c r="U13" i="8" s="1"/>
  <c r="U49" i="8" s="1"/>
  <c r="Q13" i="8"/>
  <c r="P13" i="8"/>
  <c r="O13" i="8"/>
  <c r="O49" i="8" s="1"/>
  <c r="N13" i="8"/>
  <c r="M13" i="8"/>
  <c r="L13" i="8"/>
  <c r="L49" i="8" s="1"/>
  <c r="J13" i="8"/>
  <c r="J49" i="8" s="1"/>
  <c r="I13" i="8"/>
  <c r="G13" i="8"/>
  <c r="F13" i="8"/>
  <c r="F49" i="8" s="1"/>
  <c r="E13" i="8"/>
  <c r="D13" i="8"/>
  <c r="C13" i="8"/>
  <c r="B13" i="8"/>
  <c r="AH12" i="8"/>
  <c r="AG12" i="8"/>
  <c r="AB12" i="8"/>
  <c r="Y12" i="8"/>
  <c r="X12" i="8"/>
  <c r="U12" i="8"/>
  <c r="Q12" i="8"/>
  <c r="K12" i="8"/>
  <c r="D12" i="8"/>
  <c r="AH11" i="8"/>
  <c r="AG11" i="8"/>
  <c r="AB11" i="8"/>
  <c r="X11" i="8"/>
  <c r="U11" i="8"/>
  <c r="Q11" i="8"/>
  <c r="K11" i="8"/>
  <c r="D11" i="8"/>
  <c r="AG10" i="8"/>
  <c r="AB10" i="8"/>
  <c r="X10" i="8"/>
  <c r="U10" i="8"/>
  <c r="Q10" i="8"/>
  <c r="K10" i="8"/>
  <c r="D10" i="8"/>
  <c r="AH9" i="8"/>
  <c r="AG9" i="8"/>
  <c r="AB9" i="8"/>
  <c r="X9" i="8"/>
  <c r="U9" i="8"/>
  <c r="Q9" i="8"/>
  <c r="K9" i="8"/>
  <c r="D9" i="8"/>
  <c r="AH8" i="8"/>
  <c r="AG8" i="8"/>
  <c r="AB8" i="8"/>
  <c r="AA8" i="8"/>
  <c r="X8" i="8"/>
  <c r="U8" i="8"/>
  <c r="Q8" i="8"/>
  <c r="K8" i="8"/>
  <c r="K13" i="8" s="1"/>
  <c r="D8" i="8"/>
  <c r="A3" i="8"/>
  <c r="C54" i="7"/>
  <c r="B54" i="7"/>
  <c r="B51" i="7"/>
  <c r="D46" i="7"/>
  <c r="C46" i="7"/>
  <c r="E45" i="7"/>
  <c r="F44" i="7"/>
  <c r="D44" i="7"/>
  <c r="B44" i="7"/>
  <c r="B43" i="7"/>
  <c r="C42" i="7"/>
  <c r="B42" i="7"/>
  <c r="D41" i="7"/>
  <c r="C41" i="7"/>
  <c r="C37" i="7"/>
  <c r="C36" i="7"/>
  <c r="E35" i="7"/>
  <c r="C35" i="7"/>
  <c r="E34" i="7"/>
  <c r="B34" i="7"/>
  <c r="E33" i="7"/>
  <c r="C33" i="7"/>
  <c r="H30" i="7"/>
  <c r="H31" i="7" s="1"/>
  <c r="H28" i="7"/>
  <c r="C27" i="7"/>
  <c r="B26" i="7"/>
  <c r="E25" i="7"/>
  <c r="H22" i="7"/>
  <c r="E21" i="7"/>
  <c r="C21" i="7"/>
  <c r="F20" i="7"/>
  <c r="E20" i="7"/>
  <c r="B20" i="7"/>
  <c r="E19" i="7"/>
  <c r="F18" i="7"/>
  <c r="D18" i="7"/>
  <c r="C18" i="7"/>
  <c r="B18" i="7"/>
  <c r="E17" i="7"/>
  <c r="D17" i="7"/>
  <c r="C17" i="7"/>
  <c r="C13" i="7"/>
  <c r="C12" i="7"/>
  <c r="E9" i="7"/>
  <c r="C9" i="7"/>
  <c r="B9" i="7"/>
  <c r="C8" i="7"/>
  <c r="A3" i="7"/>
  <c r="G69" i="6"/>
  <c r="F69" i="6"/>
  <c r="B69" i="6"/>
  <c r="G65" i="6"/>
  <c r="F65" i="6"/>
  <c r="E65" i="6"/>
  <c r="D65" i="6"/>
  <c r="C65" i="6"/>
  <c r="C67" i="6" s="1"/>
  <c r="B65" i="6"/>
  <c r="H64" i="6"/>
  <c r="G64" i="6"/>
  <c r="H63" i="6"/>
  <c r="C90" i="1" s="1"/>
  <c r="C99" i="2" s="1"/>
  <c r="G63" i="6"/>
  <c r="H62" i="6"/>
  <c r="G62" i="6"/>
  <c r="H61" i="6"/>
  <c r="C88" i="1" s="1"/>
  <c r="G61" i="6"/>
  <c r="H60" i="6"/>
  <c r="G60" i="6"/>
  <c r="H59" i="6"/>
  <c r="C86" i="1" s="1"/>
  <c r="C95" i="2" s="1"/>
  <c r="G59" i="6"/>
  <c r="D57" i="6"/>
  <c r="D67" i="6" s="1"/>
  <c r="F55" i="6"/>
  <c r="E55" i="6"/>
  <c r="G55" i="6" s="1"/>
  <c r="D55" i="6"/>
  <c r="C55" i="6"/>
  <c r="B55" i="6"/>
  <c r="H54" i="6"/>
  <c r="G54" i="6"/>
  <c r="H53" i="6"/>
  <c r="G53" i="6"/>
  <c r="H52" i="6"/>
  <c r="G52" i="6"/>
  <c r="H51" i="6"/>
  <c r="G51" i="6"/>
  <c r="H50" i="6"/>
  <c r="G50" i="6"/>
  <c r="H49" i="6"/>
  <c r="G49" i="6"/>
  <c r="H48" i="6"/>
  <c r="C76" i="1" s="1"/>
  <c r="C85" i="2" s="1"/>
  <c r="G48" i="6"/>
  <c r="H47" i="6"/>
  <c r="G47" i="6"/>
  <c r="H46" i="6"/>
  <c r="G46" i="6"/>
  <c r="F43" i="6"/>
  <c r="F57" i="6" s="1"/>
  <c r="F67" i="6" s="1"/>
  <c r="F68" i="6" s="1"/>
  <c r="E43" i="6"/>
  <c r="D43" i="6"/>
  <c r="C43" i="6"/>
  <c r="C57" i="6" s="1"/>
  <c r="B43" i="6"/>
  <c r="H43" i="6" s="1"/>
  <c r="C71" i="1" s="1"/>
  <c r="H42" i="6"/>
  <c r="G42" i="6"/>
  <c r="H41" i="6"/>
  <c r="G41" i="6"/>
  <c r="H40" i="6"/>
  <c r="G40" i="6"/>
  <c r="H39" i="6"/>
  <c r="G39" i="6"/>
  <c r="H38" i="6"/>
  <c r="G38" i="6"/>
  <c r="H37" i="6"/>
  <c r="G37" i="6"/>
  <c r="G43" i="6" s="1"/>
  <c r="D34" i="6"/>
  <c r="G32" i="6"/>
  <c r="F32" i="6"/>
  <c r="E32" i="6"/>
  <c r="E69" i="6" s="1"/>
  <c r="D32" i="6"/>
  <c r="D69" i="6" s="1"/>
  <c r="D68" i="6" s="1"/>
  <c r="C32" i="6"/>
  <c r="H32" i="6" s="1"/>
  <c r="B32" i="6"/>
  <c r="G31" i="6"/>
  <c r="H31" i="6" s="1"/>
  <c r="C60" i="2" s="1"/>
  <c r="H30" i="6"/>
  <c r="C56" i="1" s="1"/>
  <c r="C65" i="2" s="1"/>
  <c r="G30" i="6"/>
  <c r="G29" i="6"/>
  <c r="H29" i="6" s="1"/>
  <c r="C35" i="1" s="1"/>
  <c r="F26" i="6"/>
  <c r="F34" i="6" s="1"/>
  <c r="E26" i="6"/>
  <c r="D26" i="6"/>
  <c r="C26" i="6"/>
  <c r="B26" i="6"/>
  <c r="G25" i="6"/>
  <c r="H25" i="6" s="1"/>
  <c r="C31" i="1" s="1"/>
  <c r="C42" i="2" s="1"/>
  <c r="G24" i="6"/>
  <c r="H24" i="6" s="1"/>
  <c r="F21" i="6"/>
  <c r="E21" i="6"/>
  <c r="G21" i="6" s="1"/>
  <c r="D21" i="6"/>
  <c r="H21" i="6" s="1"/>
  <c r="C21" i="6"/>
  <c r="B21" i="6"/>
  <c r="G20" i="6"/>
  <c r="H20" i="6" s="1"/>
  <c r="C26" i="1" s="1"/>
  <c r="C37" i="2" s="1"/>
  <c r="H19" i="6"/>
  <c r="G19" i="6"/>
  <c r="G18" i="6"/>
  <c r="H18" i="6" s="1"/>
  <c r="C23" i="1" s="1"/>
  <c r="C29" i="2" s="1"/>
  <c r="H17" i="6"/>
  <c r="G17" i="6"/>
  <c r="G14" i="6"/>
  <c r="F14" i="6"/>
  <c r="F35" i="6" s="1"/>
  <c r="E14" i="6"/>
  <c r="D14" i="6"/>
  <c r="C14" i="6"/>
  <c r="B14" i="6"/>
  <c r="G13" i="6"/>
  <c r="H13" i="6" s="1"/>
  <c r="G12" i="6"/>
  <c r="H12" i="6" s="1"/>
  <c r="C15" i="1" s="1"/>
  <c r="C21" i="2" s="1"/>
  <c r="G11" i="6"/>
  <c r="H11" i="6" s="1"/>
  <c r="G10" i="6"/>
  <c r="H10" i="6" s="1"/>
  <c r="C13" i="1" s="1"/>
  <c r="C14" i="2" s="1"/>
  <c r="G9" i="6"/>
  <c r="H9" i="6" s="1"/>
  <c r="C11" i="1" s="1"/>
  <c r="C11" i="2" s="1"/>
  <c r="G8" i="6"/>
  <c r="H8" i="6" s="1"/>
  <c r="C8" i="1" s="1"/>
  <c r="C8" i="2" s="1"/>
  <c r="A3" i="6"/>
  <c r="AC76" i="5"/>
  <c r="AB76" i="5"/>
  <c r="Y76" i="5"/>
  <c r="X76" i="5"/>
  <c r="W76" i="5"/>
  <c r="B69" i="4" s="1"/>
  <c r="D69" i="4" s="1"/>
  <c r="M69" i="4" s="1"/>
  <c r="B76" i="1" s="1"/>
  <c r="B85" i="2" s="1"/>
  <c r="O76" i="5"/>
  <c r="B61" i="4" s="1"/>
  <c r="D61" i="4" s="1"/>
  <c r="M61" i="4" s="1"/>
  <c r="J76" i="5"/>
  <c r="F76" i="5"/>
  <c r="E76" i="5"/>
  <c r="AH64" i="5"/>
  <c r="AH76" i="5" s="1"/>
  <c r="B82" i="4" s="1"/>
  <c r="AG64" i="5"/>
  <c r="AG76" i="5" s="1"/>
  <c r="B81" i="4" s="1"/>
  <c r="D81" i="4" s="1"/>
  <c r="M81" i="4" s="1"/>
  <c r="B90" i="1" s="1"/>
  <c r="B99" i="2" s="1"/>
  <c r="AC64" i="5"/>
  <c r="AB64" i="5"/>
  <c r="AA64" i="5"/>
  <c r="AA76" i="5" s="1"/>
  <c r="B73" i="4" s="1"/>
  <c r="D73" i="4" s="1"/>
  <c r="M73" i="4" s="1"/>
  <c r="B80" i="1" s="1"/>
  <c r="Z64" i="5"/>
  <c r="Z76" i="5" s="1"/>
  <c r="B72" i="4" s="1"/>
  <c r="D72" i="4" s="1"/>
  <c r="Y64" i="5"/>
  <c r="X64" i="5"/>
  <c r="W64" i="5"/>
  <c r="V64" i="5"/>
  <c r="V76" i="5" s="1"/>
  <c r="B68" i="4" s="1"/>
  <c r="D68" i="4" s="1"/>
  <c r="M68" i="4" s="1"/>
  <c r="B75" i="1" s="1"/>
  <c r="B84" i="2" s="1"/>
  <c r="U64" i="5"/>
  <c r="U76" i="5" s="1"/>
  <c r="R64" i="5"/>
  <c r="Q64" i="5"/>
  <c r="Q76" i="5" s="1"/>
  <c r="B57" i="4" s="1"/>
  <c r="P64" i="5"/>
  <c r="P76" i="5" s="1"/>
  <c r="O64" i="5"/>
  <c r="N64" i="5"/>
  <c r="N76" i="5" s="1"/>
  <c r="B60" i="4" s="1"/>
  <c r="M64" i="5"/>
  <c r="M76" i="5" s="1"/>
  <c r="K64" i="5"/>
  <c r="K76" i="5" s="1"/>
  <c r="J64" i="5"/>
  <c r="I64" i="5"/>
  <c r="I76" i="5" s="1"/>
  <c r="H64" i="5"/>
  <c r="H76" i="5" s="1"/>
  <c r="F64" i="5"/>
  <c r="E64" i="5"/>
  <c r="F65" i="5" s="1"/>
  <c r="C64" i="5"/>
  <c r="C76" i="5" s="1"/>
  <c r="AD63" i="5"/>
  <c r="S63" i="5"/>
  <c r="AF63" i="5" s="1"/>
  <c r="AI63" i="5" s="1"/>
  <c r="D63" i="5"/>
  <c r="AD62" i="5"/>
  <c r="AF62" i="5" s="1"/>
  <c r="AI62" i="5" s="1"/>
  <c r="S62" i="5"/>
  <c r="D62" i="5"/>
  <c r="AD61" i="5"/>
  <c r="S61" i="5"/>
  <c r="AF61" i="5" s="1"/>
  <c r="AI61" i="5" s="1"/>
  <c r="D61" i="5"/>
  <c r="AD60" i="5"/>
  <c r="S60" i="5"/>
  <c r="D60" i="5"/>
  <c r="AD59" i="5"/>
  <c r="S59" i="5"/>
  <c r="AF59" i="5" s="1"/>
  <c r="AI59" i="5" s="1"/>
  <c r="L59" i="5"/>
  <c r="D59" i="5"/>
  <c r="AF58" i="5"/>
  <c r="AI58" i="5" s="1"/>
  <c r="AD58" i="5"/>
  <c r="S58" i="5"/>
  <c r="D58" i="5"/>
  <c r="AD57" i="5"/>
  <c r="S57" i="5"/>
  <c r="AF57" i="5" s="1"/>
  <c r="AI57" i="5" s="1"/>
  <c r="D57" i="5"/>
  <c r="AD56" i="5"/>
  <c r="S56" i="5"/>
  <c r="AF56" i="5" s="1"/>
  <c r="AI56" i="5" s="1"/>
  <c r="D56" i="5"/>
  <c r="AD55" i="5"/>
  <c r="S55" i="5"/>
  <c r="D55" i="5"/>
  <c r="AF54" i="5"/>
  <c r="AI54" i="5" s="1"/>
  <c r="AD54" i="5"/>
  <c r="S54" i="5"/>
  <c r="D54" i="5"/>
  <c r="AI53" i="5"/>
  <c r="AD53" i="5"/>
  <c r="S53" i="5"/>
  <c r="AF53" i="5" s="1"/>
  <c r="D53" i="5"/>
  <c r="AD52" i="5"/>
  <c r="S52" i="5"/>
  <c r="AF52" i="5" s="1"/>
  <c r="AI52" i="5" s="1"/>
  <c r="L52" i="5"/>
  <c r="D52" i="5"/>
  <c r="AF51" i="5"/>
  <c r="AI51" i="5" s="1"/>
  <c r="AD51" i="5"/>
  <c r="L51" i="5"/>
  <c r="S51" i="5" s="1"/>
  <c r="D51" i="5"/>
  <c r="AD50" i="5"/>
  <c r="S50" i="5"/>
  <c r="AF50" i="5" s="1"/>
  <c r="AI50" i="5" s="1"/>
  <c r="D50" i="5"/>
  <c r="AD49" i="5"/>
  <c r="AF49" i="5" s="1"/>
  <c r="AI49" i="5" s="1"/>
  <c r="S49" i="5"/>
  <c r="D49" i="5"/>
  <c r="AF48" i="5"/>
  <c r="AI48" i="5" s="1"/>
  <c r="AD48" i="5"/>
  <c r="S48" i="5"/>
  <c r="D48" i="5"/>
  <c r="AD47" i="5"/>
  <c r="S47" i="5"/>
  <c r="AF47" i="5" s="1"/>
  <c r="AI47" i="5" s="1"/>
  <c r="D47" i="5"/>
  <c r="AD46" i="5"/>
  <c r="S46" i="5"/>
  <c r="AF46" i="5" s="1"/>
  <c r="AI46" i="5" s="1"/>
  <c r="D46" i="5"/>
  <c r="AD45" i="5"/>
  <c r="AF45" i="5" s="1"/>
  <c r="AI45" i="5" s="1"/>
  <c r="S45" i="5"/>
  <c r="D45" i="5"/>
  <c r="AF44" i="5"/>
  <c r="AI44" i="5" s="1"/>
  <c r="AD44" i="5"/>
  <c r="S44" i="5"/>
  <c r="D44" i="5"/>
  <c r="AF43" i="5"/>
  <c r="AI43" i="5" s="1"/>
  <c r="AD43" i="5"/>
  <c r="S43" i="5"/>
  <c r="D43" i="5"/>
  <c r="AI42" i="5"/>
  <c r="AD42" i="5"/>
  <c r="S42" i="5"/>
  <c r="AF42" i="5" s="1"/>
  <c r="D42" i="5"/>
  <c r="AD41" i="5"/>
  <c r="S41" i="5"/>
  <c r="AF41" i="5" s="1"/>
  <c r="AI41" i="5" s="1"/>
  <c r="L41" i="5"/>
  <c r="D41" i="5"/>
  <c r="AF40" i="5"/>
  <c r="AI40" i="5" s="1"/>
  <c r="AD40" i="5"/>
  <c r="S40" i="5"/>
  <c r="D40" i="5"/>
  <c r="AD39" i="5"/>
  <c r="S39" i="5"/>
  <c r="D39" i="5"/>
  <c r="AD38" i="5"/>
  <c r="S38" i="5"/>
  <c r="AF38" i="5" s="1"/>
  <c r="AI38" i="5" s="1"/>
  <c r="L38" i="5"/>
  <c r="D38" i="5"/>
  <c r="AD37" i="5"/>
  <c r="AF37" i="5" s="1"/>
  <c r="AI37" i="5" s="1"/>
  <c r="S37" i="5"/>
  <c r="D37" i="5"/>
  <c r="AF36" i="5"/>
  <c r="AI36" i="5" s="1"/>
  <c r="AD36" i="5"/>
  <c r="S36" i="5"/>
  <c r="D36" i="5"/>
  <c r="AD35" i="5"/>
  <c r="S35" i="5"/>
  <c r="AF35" i="5" s="1"/>
  <c r="AI35" i="5" s="1"/>
  <c r="D35" i="5"/>
  <c r="AD34" i="5"/>
  <c r="S34" i="5"/>
  <c r="AF34" i="5" s="1"/>
  <c r="AI34" i="5" s="1"/>
  <c r="D34" i="5"/>
  <c r="AD33" i="5"/>
  <c r="AF33" i="5" s="1"/>
  <c r="AI33" i="5" s="1"/>
  <c r="S33" i="5"/>
  <c r="D33" i="5"/>
  <c r="AF32" i="5"/>
  <c r="AI32" i="5" s="1"/>
  <c r="AD32" i="5"/>
  <c r="S32" i="5"/>
  <c r="D32" i="5"/>
  <c r="AI31" i="5"/>
  <c r="AD31" i="5"/>
  <c r="S31" i="5"/>
  <c r="AF31" i="5" s="1"/>
  <c r="D31" i="5"/>
  <c r="AD30" i="5"/>
  <c r="S30" i="5"/>
  <c r="AF30" i="5" s="1"/>
  <c r="AI30" i="5" s="1"/>
  <c r="D30" i="5"/>
  <c r="AD29" i="5"/>
  <c r="S29" i="5"/>
  <c r="AF29" i="5" s="1"/>
  <c r="AI29" i="5" s="1"/>
  <c r="D29" i="5"/>
  <c r="AD28" i="5"/>
  <c r="AF28" i="5" s="1"/>
  <c r="AI28" i="5" s="1"/>
  <c r="S28" i="5"/>
  <c r="D28" i="5"/>
  <c r="AF27" i="5"/>
  <c r="AI27" i="5" s="1"/>
  <c r="AD27" i="5"/>
  <c r="S27" i="5"/>
  <c r="D27" i="5"/>
  <c r="AD26" i="5"/>
  <c r="S26" i="5"/>
  <c r="AF26" i="5" s="1"/>
  <c r="AI26" i="5" s="1"/>
  <c r="D26" i="5"/>
  <c r="AD25" i="5"/>
  <c r="S25" i="5"/>
  <c r="AF25" i="5" s="1"/>
  <c r="AI25" i="5" s="1"/>
  <c r="D25" i="5"/>
  <c r="AD24" i="5"/>
  <c r="S24" i="5"/>
  <c r="AF24" i="5" s="1"/>
  <c r="AI24" i="5" s="1"/>
  <c r="D24" i="5"/>
  <c r="AD23" i="5"/>
  <c r="S23" i="5"/>
  <c r="AF23" i="5" s="1"/>
  <c r="AI23" i="5" s="1"/>
  <c r="D23" i="5"/>
  <c r="AD22" i="5"/>
  <c r="L22" i="5"/>
  <c r="L64" i="5" s="1"/>
  <c r="L76" i="5" s="1"/>
  <c r="AD21" i="5"/>
  <c r="AF21" i="5" s="1"/>
  <c r="AI21" i="5" s="1"/>
  <c r="S21" i="5"/>
  <c r="D21" i="5"/>
  <c r="AD20" i="5"/>
  <c r="S20" i="5"/>
  <c r="AF20" i="5" s="1"/>
  <c r="AI20" i="5" s="1"/>
  <c r="D20" i="5"/>
  <c r="AD19" i="5"/>
  <c r="AF19" i="5" s="1"/>
  <c r="AI19" i="5" s="1"/>
  <c r="S19" i="5"/>
  <c r="D19" i="5"/>
  <c r="AF18" i="5"/>
  <c r="AI18" i="5" s="1"/>
  <c r="AD18" i="5"/>
  <c r="S18" i="5"/>
  <c r="D18" i="5"/>
  <c r="AD17" i="5"/>
  <c r="S17" i="5"/>
  <c r="AF17" i="5" s="1"/>
  <c r="AI17" i="5" s="1"/>
  <c r="D17" i="5"/>
  <c r="AD16" i="5"/>
  <c r="S16" i="5"/>
  <c r="AF16" i="5" s="1"/>
  <c r="AI16" i="5" s="1"/>
  <c r="D16" i="5"/>
  <c r="AD15" i="5"/>
  <c r="AF15" i="5" s="1"/>
  <c r="AI15" i="5" s="1"/>
  <c r="S15" i="5"/>
  <c r="D15" i="5"/>
  <c r="AD14" i="5"/>
  <c r="S14" i="5"/>
  <c r="AF14" i="5" s="1"/>
  <c r="AI14" i="5" s="1"/>
  <c r="D14" i="5"/>
  <c r="AD13" i="5"/>
  <c r="AF13" i="5" s="1"/>
  <c r="AI13" i="5" s="1"/>
  <c r="S13" i="5"/>
  <c r="D13" i="5"/>
  <c r="AF12" i="5"/>
  <c r="AI12" i="5" s="1"/>
  <c r="AD12" i="5"/>
  <c r="S12" i="5"/>
  <c r="D12" i="5"/>
  <c r="AD11" i="5"/>
  <c r="S11" i="5"/>
  <c r="AF11" i="5" s="1"/>
  <c r="AI11" i="5" s="1"/>
  <c r="D11" i="5"/>
  <c r="AD10" i="5"/>
  <c r="S10" i="5"/>
  <c r="D10" i="5"/>
  <c r="AI9" i="5"/>
  <c r="AD9" i="5"/>
  <c r="S9" i="5"/>
  <c r="AF9" i="5" s="1"/>
  <c r="D9" i="5"/>
  <c r="AD8" i="5"/>
  <c r="S8" i="5"/>
  <c r="AF8" i="5" s="1"/>
  <c r="AI8" i="5" s="1"/>
  <c r="G8" i="5"/>
  <c r="E8" i="5"/>
  <c r="D8" i="5"/>
  <c r="AD7" i="5"/>
  <c r="G7" i="5"/>
  <c r="G64" i="5" s="1"/>
  <c r="D7" i="5"/>
  <c r="A3" i="5"/>
  <c r="J87" i="4"/>
  <c r="I87" i="4"/>
  <c r="H87" i="4"/>
  <c r="G87" i="4"/>
  <c r="F87" i="4"/>
  <c r="E87" i="4"/>
  <c r="K83" i="4"/>
  <c r="J83" i="4"/>
  <c r="I83" i="4"/>
  <c r="H83" i="4"/>
  <c r="G83" i="4"/>
  <c r="F83" i="4"/>
  <c r="E83" i="4"/>
  <c r="C83" i="4"/>
  <c r="D82" i="4"/>
  <c r="M82" i="4" s="1"/>
  <c r="B91" i="1" s="1"/>
  <c r="B100" i="2" s="1"/>
  <c r="B80" i="4"/>
  <c r="K78" i="4"/>
  <c r="K85" i="4" s="1"/>
  <c r="G78" i="4"/>
  <c r="G85" i="4" s="1"/>
  <c r="G86" i="4" s="1"/>
  <c r="K76" i="4"/>
  <c r="J76" i="4"/>
  <c r="I76" i="4"/>
  <c r="H76" i="4"/>
  <c r="H78" i="4" s="1"/>
  <c r="H85" i="4" s="1"/>
  <c r="H86" i="4" s="1"/>
  <c r="G76" i="4"/>
  <c r="F76" i="4"/>
  <c r="E76" i="4"/>
  <c r="C76" i="4"/>
  <c r="D75" i="4"/>
  <c r="M75" i="4" s="1"/>
  <c r="B81" i="1" s="1"/>
  <c r="B90" i="2" s="1"/>
  <c r="B75" i="4"/>
  <c r="B74" i="4"/>
  <c r="D74" i="4" s="1"/>
  <c r="M74" i="4" s="1"/>
  <c r="M72" i="4"/>
  <c r="B79" i="1" s="1"/>
  <c r="B88" i="2" s="1"/>
  <c r="D71" i="4"/>
  <c r="M71" i="4" s="1"/>
  <c r="B71" i="4"/>
  <c r="B70" i="4"/>
  <c r="D70" i="4" s="1"/>
  <c r="M70" i="4" s="1"/>
  <c r="B77" i="1" s="1"/>
  <c r="B86" i="2" s="1"/>
  <c r="K64" i="4"/>
  <c r="J64" i="4"/>
  <c r="J78" i="4" s="1"/>
  <c r="J85" i="4" s="1"/>
  <c r="I64" i="4"/>
  <c r="I78" i="4" s="1"/>
  <c r="I85" i="4" s="1"/>
  <c r="H64" i="4"/>
  <c r="G64" i="4"/>
  <c r="F64" i="4"/>
  <c r="F78" i="4" s="1"/>
  <c r="F85" i="4" s="1"/>
  <c r="E64" i="4"/>
  <c r="E78" i="4" s="1"/>
  <c r="C64" i="4"/>
  <c r="C78" i="4" s="1"/>
  <c r="C85" i="4" s="1"/>
  <c r="D62" i="4"/>
  <c r="M62" i="4" s="1"/>
  <c r="B173" i="3" s="1"/>
  <c r="L54" i="4"/>
  <c r="G54" i="4"/>
  <c r="K51" i="4"/>
  <c r="K87" i="4" s="1"/>
  <c r="J51" i="4"/>
  <c r="I51" i="4"/>
  <c r="H51" i="4"/>
  <c r="G51" i="4"/>
  <c r="F51" i="4"/>
  <c r="E51" i="4"/>
  <c r="B51" i="4"/>
  <c r="C50" i="4"/>
  <c r="D50" i="4" s="1"/>
  <c r="M50" i="4" s="1"/>
  <c r="B57" i="1" s="1"/>
  <c r="B66" i="2" s="1"/>
  <c r="M49" i="4"/>
  <c r="D49" i="4"/>
  <c r="D48" i="4"/>
  <c r="M48" i="4" s="1"/>
  <c r="M47" i="4"/>
  <c r="D47" i="4"/>
  <c r="D46" i="4"/>
  <c r="M46" i="4" s="1"/>
  <c r="B45" i="4"/>
  <c r="D45" i="4" s="1"/>
  <c r="M45" i="4" s="1"/>
  <c r="D44" i="4"/>
  <c r="M44" i="4" s="1"/>
  <c r="D43" i="4"/>
  <c r="M43" i="4" s="1"/>
  <c r="D42" i="4"/>
  <c r="M42" i="4" s="1"/>
  <c r="D41" i="4"/>
  <c r="M41" i="4" s="1"/>
  <c r="D40" i="4"/>
  <c r="M40" i="4" s="1"/>
  <c r="D39" i="4"/>
  <c r="M39" i="4" s="1"/>
  <c r="D38" i="4"/>
  <c r="M38" i="4" s="1"/>
  <c r="D37" i="4"/>
  <c r="M37" i="4" s="1"/>
  <c r="D36" i="4"/>
  <c r="M36" i="4" s="1"/>
  <c r="D35" i="4"/>
  <c r="M35" i="4" s="1"/>
  <c r="D34" i="4"/>
  <c r="M34" i="4" s="1"/>
  <c r="C33" i="4"/>
  <c r="D33" i="4" s="1"/>
  <c r="M33" i="4" s="1"/>
  <c r="B36" i="1" s="1"/>
  <c r="M32" i="4"/>
  <c r="D32" i="4"/>
  <c r="K28" i="4"/>
  <c r="J28" i="4"/>
  <c r="I28" i="4"/>
  <c r="H28" i="4"/>
  <c r="G28" i="4"/>
  <c r="F28" i="4"/>
  <c r="E28" i="4"/>
  <c r="C28" i="4"/>
  <c r="B28" i="4"/>
  <c r="D27" i="4"/>
  <c r="M27" i="4" s="1"/>
  <c r="B31" i="1" s="1"/>
  <c r="D26" i="4"/>
  <c r="K23" i="4"/>
  <c r="K53" i="4" s="1"/>
  <c r="J23" i="4"/>
  <c r="J53" i="4" s="1"/>
  <c r="I23" i="4"/>
  <c r="I53" i="4" s="1"/>
  <c r="H23" i="4"/>
  <c r="H53" i="4" s="1"/>
  <c r="G23" i="4"/>
  <c r="G53" i="4" s="1"/>
  <c r="F23" i="4"/>
  <c r="F53" i="4" s="1"/>
  <c r="E23" i="4"/>
  <c r="E53" i="4" s="1"/>
  <c r="B23" i="4"/>
  <c r="D23" i="4" s="1"/>
  <c r="C22" i="4"/>
  <c r="C23" i="4" s="1"/>
  <c r="M21" i="4"/>
  <c r="B25" i="1" s="1"/>
  <c r="B31" i="2" s="1"/>
  <c r="J21" i="4"/>
  <c r="D21" i="4"/>
  <c r="D20" i="4"/>
  <c r="M20" i="4" s="1"/>
  <c r="B24" i="1" s="1"/>
  <c r="B30" i="2" s="1"/>
  <c r="D19" i="4"/>
  <c r="M19" i="4" s="1"/>
  <c r="M18" i="4"/>
  <c r="D18" i="4"/>
  <c r="K15" i="4"/>
  <c r="K54" i="4" s="1"/>
  <c r="J15" i="4"/>
  <c r="I15" i="4"/>
  <c r="I54" i="4" s="1"/>
  <c r="H15" i="4"/>
  <c r="H54" i="4" s="1"/>
  <c r="G15" i="4"/>
  <c r="F15" i="4"/>
  <c r="E15" i="4"/>
  <c r="E54" i="4" s="1"/>
  <c r="C15" i="4"/>
  <c r="D14" i="4"/>
  <c r="M14" i="4" s="1"/>
  <c r="M13" i="4"/>
  <c r="B14" i="1" s="1"/>
  <c r="B15" i="2" s="1"/>
  <c r="D13" i="4"/>
  <c r="D12" i="4"/>
  <c r="M12" i="4" s="1"/>
  <c r="C11" i="4"/>
  <c r="D11" i="4" s="1"/>
  <c r="M11" i="4" s="1"/>
  <c r="B12" i="1" s="1"/>
  <c r="G12" i="1" s="1"/>
  <c r="G13" i="2" s="1"/>
  <c r="D10" i="4"/>
  <c r="M10" i="4" s="1"/>
  <c r="B10" i="1" s="1"/>
  <c r="G10" i="1" s="1"/>
  <c r="B10" i="4"/>
  <c r="B15" i="4" s="1"/>
  <c r="D9" i="4"/>
  <c r="M9" i="4" s="1"/>
  <c r="C8" i="4"/>
  <c r="D8" i="4" s="1"/>
  <c r="M8" i="4" s="1"/>
  <c r="A3" i="4"/>
  <c r="AJ176" i="3"/>
  <c r="L176" i="3"/>
  <c r="I176" i="3"/>
  <c r="F176" i="3"/>
  <c r="C176" i="3"/>
  <c r="AI175" i="3"/>
  <c r="AK175" i="3" s="1"/>
  <c r="M175" i="3"/>
  <c r="J175" i="3"/>
  <c r="G175" i="3"/>
  <c r="AK174" i="3"/>
  <c r="AI174" i="3"/>
  <c r="M174" i="3"/>
  <c r="J174" i="3"/>
  <c r="G174" i="3"/>
  <c r="AL174" i="3" s="1"/>
  <c r="D174" i="3"/>
  <c r="AI173" i="3"/>
  <c r="AK173" i="3" s="1"/>
  <c r="M173" i="3"/>
  <c r="J173" i="3"/>
  <c r="G173" i="3"/>
  <c r="D173" i="3"/>
  <c r="AL173" i="3" s="1"/>
  <c r="AI172" i="3"/>
  <c r="AK172" i="3" s="1"/>
  <c r="M172" i="3"/>
  <c r="J172" i="3"/>
  <c r="G172" i="3"/>
  <c r="AF171" i="3"/>
  <c r="AB171" i="3"/>
  <c r="Z171" i="3"/>
  <c r="X171" i="3"/>
  <c r="W171" i="3"/>
  <c r="V171" i="3"/>
  <c r="U171" i="3"/>
  <c r="T171" i="3"/>
  <c r="S171" i="3"/>
  <c r="R171" i="3"/>
  <c r="Q171" i="3"/>
  <c r="O171" i="3"/>
  <c r="N171" i="3"/>
  <c r="K171" i="3"/>
  <c r="M171" i="3" s="1"/>
  <c r="AG170" i="3"/>
  <c r="AF170" i="3"/>
  <c r="AA170" i="3"/>
  <c r="Z170" i="3"/>
  <c r="X170" i="3"/>
  <c r="W170" i="3"/>
  <c r="V170" i="3"/>
  <c r="U170" i="3"/>
  <c r="T170" i="3"/>
  <c r="S170" i="3"/>
  <c r="R170" i="3"/>
  <c r="Q170" i="3"/>
  <c r="O170" i="3"/>
  <c r="N170" i="3"/>
  <c r="K170" i="3"/>
  <c r="M170" i="3" s="1"/>
  <c r="AH169" i="3"/>
  <c r="AG169" i="3"/>
  <c r="AF169" i="3"/>
  <c r="AE169" i="3"/>
  <c r="AA169" i="3"/>
  <c r="Z169" i="3"/>
  <c r="Y169" i="3"/>
  <c r="X169" i="3"/>
  <c r="W169" i="3"/>
  <c r="V169" i="3"/>
  <c r="U169" i="3"/>
  <c r="S169" i="3"/>
  <c r="R169" i="3"/>
  <c r="Q169" i="3"/>
  <c r="P169" i="3"/>
  <c r="O169" i="3"/>
  <c r="N169" i="3"/>
  <c r="AI168" i="3"/>
  <c r="AK168" i="3" s="1"/>
  <c r="M168" i="3"/>
  <c r="J168" i="3"/>
  <c r="G168" i="3"/>
  <c r="D168" i="3"/>
  <c r="AL168" i="3" s="1"/>
  <c r="AG167" i="3"/>
  <c r="AF167" i="3"/>
  <c r="AE167" i="3"/>
  <c r="AA167" i="3"/>
  <c r="Z167" i="3"/>
  <c r="W167" i="3"/>
  <c r="V167" i="3"/>
  <c r="U167" i="3"/>
  <c r="T167" i="3"/>
  <c r="S167" i="3"/>
  <c r="R167" i="3"/>
  <c r="Q167" i="3"/>
  <c r="O167" i="3"/>
  <c r="N167" i="3"/>
  <c r="K167" i="3"/>
  <c r="M167" i="3" s="1"/>
  <c r="AF166" i="3"/>
  <c r="AA166" i="3"/>
  <c r="Z166" i="3"/>
  <c r="W166" i="3"/>
  <c r="V166" i="3"/>
  <c r="U166" i="3"/>
  <c r="T166" i="3"/>
  <c r="S166" i="3"/>
  <c r="R166" i="3"/>
  <c r="Q166" i="3"/>
  <c r="O166" i="3"/>
  <c r="N166" i="3"/>
  <c r="K166" i="3"/>
  <c r="G162" i="3"/>
  <c r="C161" i="3"/>
  <c r="C160" i="3"/>
  <c r="I158" i="3"/>
  <c r="I162" i="3" s="1"/>
  <c r="D14" i="3" s="1"/>
  <c r="C157" i="3"/>
  <c r="C156" i="3"/>
  <c r="C155" i="3"/>
  <c r="C154" i="3"/>
  <c r="C153" i="3"/>
  <c r="D152" i="3"/>
  <c r="D151" i="3"/>
  <c r="D150" i="3"/>
  <c r="D149" i="3"/>
  <c r="D148" i="3"/>
  <c r="D147" i="3"/>
  <c r="C146" i="3"/>
  <c r="C145" i="3"/>
  <c r="C144" i="3"/>
  <c r="C143" i="3"/>
  <c r="G142" i="3"/>
  <c r="F141" i="3"/>
  <c r="E140" i="3"/>
  <c r="E139" i="3"/>
  <c r="E138" i="3"/>
  <c r="E137" i="3"/>
  <c r="D136" i="3"/>
  <c r="D135" i="3"/>
  <c r="D134" i="3"/>
  <c r="D133" i="3"/>
  <c r="D132" i="3"/>
  <c r="D131" i="3"/>
  <c r="D130" i="3"/>
  <c r="D129" i="3"/>
  <c r="D128" i="3"/>
  <c r="C127" i="3"/>
  <c r="C126" i="3"/>
  <c r="H125" i="3"/>
  <c r="H162" i="3" s="1"/>
  <c r="D13" i="3" s="1"/>
  <c r="I124" i="3"/>
  <c r="G123" i="3"/>
  <c r="F122" i="3"/>
  <c r="E121" i="3"/>
  <c r="E162" i="3" s="1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5" i="3"/>
  <c r="C98" i="3"/>
  <c r="C97" i="3"/>
  <c r="H96" i="3"/>
  <c r="I95" i="3"/>
  <c r="C94" i="3"/>
  <c r="C93" i="3"/>
  <c r="C92" i="3"/>
  <c r="C91" i="3"/>
  <c r="C90" i="3"/>
  <c r="D89" i="3"/>
  <c r="D88" i="3"/>
  <c r="D87" i="3"/>
  <c r="D86" i="3"/>
  <c r="D85" i="3"/>
  <c r="D84" i="3"/>
  <c r="C83" i="3"/>
  <c r="C82" i="3"/>
  <c r="C81" i="3"/>
  <c r="C80" i="3"/>
  <c r="G79" i="3"/>
  <c r="F78" i="3"/>
  <c r="E77" i="3"/>
  <c r="E76" i="3"/>
  <c r="E75" i="3"/>
  <c r="E74" i="3"/>
  <c r="D73" i="3"/>
  <c r="D72" i="3"/>
  <c r="D71" i="3"/>
  <c r="D70" i="3"/>
  <c r="D69" i="3"/>
  <c r="D68" i="3"/>
  <c r="D65" i="3"/>
  <c r="C64" i="3"/>
  <c r="C63" i="3"/>
  <c r="H62" i="3"/>
  <c r="I61" i="3"/>
  <c r="I99" i="3" s="1"/>
  <c r="C14" i="3" s="1"/>
  <c r="G60" i="3"/>
  <c r="G99" i="3" s="1"/>
  <c r="F59" i="3"/>
  <c r="E58" i="3"/>
  <c r="E99" i="3" s="1"/>
  <c r="D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E17" i="3"/>
  <c r="B2" i="3"/>
  <c r="A105" i="2"/>
  <c r="A104" i="2"/>
  <c r="A103" i="2"/>
  <c r="Q101" i="2"/>
  <c r="P101" i="2"/>
  <c r="O101" i="2"/>
  <c r="N101" i="2"/>
  <c r="M101" i="2"/>
  <c r="L101" i="2"/>
  <c r="K101" i="2"/>
  <c r="J101" i="2"/>
  <c r="I101" i="2"/>
  <c r="H101" i="2"/>
  <c r="A101" i="2"/>
  <c r="E100" i="2"/>
  <c r="A100" i="2"/>
  <c r="E99" i="2"/>
  <c r="A99" i="2"/>
  <c r="F98" i="2"/>
  <c r="E98" i="2"/>
  <c r="D98" i="2"/>
  <c r="B98" i="2"/>
  <c r="A98" i="2"/>
  <c r="F97" i="2"/>
  <c r="E97" i="2"/>
  <c r="D97" i="2"/>
  <c r="B97" i="2"/>
  <c r="A97" i="2"/>
  <c r="F96" i="2"/>
  <c r="E96" i="2"/>
  <c r="D96" i="2"/>
  <c r="B96" i="2"/>
  <c r="A96" i="2"/>
  <c r="E95" i="2"/>
  <c r="A95" i="2"/>
  <c r="A93" i="2"/>
  <c r="Q91" i="2"/>
  <c r="P91" i="2"/>
  <c r="O91" i="2"/>
  <c r="N91" i="2"/>
  <c r="M91" i="2"/>
  <c r="L91" i="2"/>
  <c r="K91" i="2"/>
  <c r="J91" i="2"/>
  <c r="I91" i="2"/>
  <c r="H91" i="2"/>
  <c r="A91" i="2"/>
  <c r="F90" i="2"/>
  <c r="E90" i="2"/>
  <c r="D90" i="2"/>
  <c r="A90" i="2"/>
  <c r="F89" i="2"/>
  <c r="E89" i="2"/>
  <c r="D89" i="2"/>
  <c r="A89" i="2"/>
  <c r="E88" i="2"/>
  <c r="A88" i="2"/>
  <c r="A87" i="2"/>
  <c r="E86" i="2"/>
  <c r="A86" i="2"/>
  <c r="E85" i="2"/>
  <c r="A85" i="2"/>
  <c r="E84" i="2"/>
  <c r="A84" i="2"/>
  <c r="E83" i="2"/>
  <c r="A83" i="2"/>
  <c r="A82" i="2"/>
  <c r="Q80" i="2"/>
  <c r="P80" i="2"/>
  <c r="O80" i="2"/>
  <c r="N80" i="2"/>
  <c r="M80" i="2"/>
  <c r="L80" i="2"/>
  <c r="K80" i="2"/>
  <c r="J80" i="2"/>
  <c r="J93" i="2" s="1"/>
  <c r="I80" i="2"/>
  <c r="H80" i="2"/>
  <c r="A80" i="2"/>
  <c r="E79" i="2"/>
  <c r="A79" i="2"/>
  <c r="F78" i="2"/>
  <c r="E78" i="2"/>
  <c r="D78" i="2"/>
  <c r="A78" i="2"/>
  <c r="E77" i="2"/>
  <c r="A77" i="2"/>
  <c r="E76" i="2"/>
  <c r="C76" i="2"/>
  <c r="A76" i="2"/>
  <c r="E75" i="2"/>
  <c r="A75" i="2"/>
  <c r="E74" i="2"/>
  <c r="A74" i="2"/>
  <c r="F73" i="2"/>
  <c r="E73" i="2"/>
  <c r="D73" i="2"/>
  <c r="C73" i="2"/>
  <c r="A73" i="2"/>
  <c r="F72" i="2"/>
  <c r="E72" i="2"/>
  <c r="D72" i="2"/>
  <c r="C72" i="2"/>
  <c r="A72" i="2"/>
  <c r="A71" i="2"/>
  <c r="A69" i="2"/>
  <c r="P67" i="2"/>
  <c r="O67" i="2"/>
  <c r="N67" i="2"/>
  <c r="M67" i="2"/>
  <c r="L67" i="2"/>
  <c r="K67" i="2"/>
  <c r="J67" i="2"/>
  <c r="I67" i="2"/>
  <c r="H67" i="2"/>
  <c r="A67" i="2"/>
  <c r="E66" i="2"/>
  <c r="D66" i="2"/>
  <c r="C66" i="2"/>
  <c r="A66" i="2"/>
  <c r="F65" i="2"/>
  <c r="E65" i="2"/>
  <c r="E63" i="2"/>
  <c r="D63" i="2"/>
  <c r="C63" i="2"/>
  <c r="B63" i="2"/>
  <c r="A63" i="2"/>
  <c r="E62" i="2"/>
  <c r="D62" i="2"/>
  <c r="C62" i="2"/>
  <c r="B62" i="2"/>
  <c r="A62" i="2"/>
  <c r="E61" i="2"/>
  <c r="C61" i="2"/>
  <c r="B61" i="2"/>
  <c r="A61" i="2"/>
  <c r="E60" i="2"/>
  <c r="D60" i="2"/>
  <c r="B60" i="2"/>
  <c r="A60" i="2"/>
  <c r="E59" i="2"/>
  <c r="D59" i="2"/>
  <c r="C59" i="2"/>
  <c r="B59" i="2"/>
  <c r="A59" i="2"/>
  <c r="G58" i="2"/>
  <c r="E57" i="2"/>
  <c r="D57" i="2"/>
  <c r="C57" i="2"/>
  <c r="B57" i="2"/>
  <c r="A57" i="2"/>
  <c r="E56" i="2"/>
  <c r="D56" i="2"/>
  <c r="C56" i="2"/>
  <c r="B56" i="2"/>
  <c r="A56" i="2"/>
  <c r="E55" i="2"/>
  <c r="D55" i="2"/>
  <c r="C55" i="2"/>
  <c r="B55" i="2"/>
  <c r="A55" i="2"/>
  <c r="E54" i="2"/>
  <c r="D54" i="2"/>
  <c r="C54" i="2"/>
  <c r="B54" i="2"/>
  <c r="A54" i="2"/>
  <c r="E53" i="2"/>
  <c r="D53" i="2"/>
  <c r="C53" i="2"/>
  <c r="B53" i="2"/>
  <c r="A53" i="2"/>
  <c r="E52" i="2"/>
  <c r="D52" i="2"/>
  <c r="C52" i="2"/>
  <c r="B52" i="2"/>
  <c r="A52" i="2"/>
  <c r="E51" i="2"/>
  <c r="D51" i="2"/>
  <c r="C51" i="2"/>
  <c r="B51" i="2"/>
  <c r="A51" i="2"/>
  <c r="E50" i="2"/>
  <c r="D50" i="2"/>
  <c r="C50" i="2"/>
  <c r="B50" i="2"/>
  <c r="A50" i="2"/>
  <c r="E49" i="2"/>
  <c r="C49" i="2"/>
  <c r="B49" i="2"/>
  <c r="A49" i="2"/>
  <c r="F48" i="2"/>
  <c r="E48" i="2"/>
  <c r="D48" i="2"/>
  <c r="C48" i="2"/>
  <c r="A48" i="2"/>
  <c r="E47" i="2"/>
  <c r="D47" i="2"/>
  <c r="A47" i="2"/>
  <c r="A46" i="2"/>
  <c r="Q44" i="2"/>
  <c r="P44" i="2"/>
  <c r="O44" i="2"/>
  <c r="N44" i="2"/>
  <c r="M44" i="2"/>
  <c r="L44" i="2"/>
  <c r="K44" i="2"/>
  <c r="J44" i="2"/>
  <c r="I44" i="2"/>
  <c r="H44" i="2"/>
  <c r="F44" i="2"/>
  <c r="D44" i="2"/>
  <c r="A44" i="2"/>
  <c r="G43" i="2"/>
  <c r="R43" i="2" s="1"/>
  <c r="F42" i="2"/>
  <c r="E42" i="2"/>
  <c r="D42" i="2"/>
  <c r="A42" i="2"/>
  <c r="F41" i="2"/>
  <c r="E41" i="2"/>
  <c r="D41" i="2"/>
  <c r="A41" i="2"/>
  <c r="A40" i="2"/>
  <c r="Q38" i="2"/>
  <c r="P38" i="2"/>
  <c r="O38" i="2"/>
  <c r="N38" i="2"/>
  <c r="M38" i="2"/>
  <c r="L38" i="2"/>
  <c r="K38" i="2"/>
  <c r="J38" i="2"/>
  <c r="I38" i="2"/>
  <c r="H38" i="2"/>
  <c r="A38" i="2"/>
  <c r="E37" i="2"/>
  <c r="A37" i="2"/>
  <c r="G36" i="2"/>
  <c r="R36" i="2" s="1"/>
  <c r="T53" i="2" s="1"/>
  <c r="G35" i="2"/>
  <c r="R35" i="2" s="1"/>
  <c r="T52" i="2" s="1"/>
  <c r="G34" i="2"/>
  <c r="R34" i="2" s="1"/>
  <c r="T51" i="2" s="1"/>
  <c r="G33" i="2"/>
  <c r="R33" i="2" s="1"/>
  <c r="T50" i="2" s="1"/>
  <c r="G32" i="2"/>
  <c r="R32" i="2" s="1"/>
  <c r="E31" i="2"/>
  <c r="A31" i="2"/>
  <c r="E30" i="2"/>
  <c r="C30" i="2"/>
  <c r="A30" i="2"/>
  <c r="E29" i="2"/>
  <c r="A29" i="2"/>
  <c r="E28" i="2"/>
  <c r="A28" i="2"/>
  <c r="A27" i="2"/>
  <c r="Q25" i="2"/>
  <c r="P25" i="2"/>
  <c r="O25" i="2"/>
  <c r="N25" i="2"/>
  <c r="M25" i="2"/>
  <c r="L25" i="2"/>
  <c r="K25" i="2"/>
  <c r="J25" i="2"/>
  <c r="I25" i="2"/>
  <c r="H25" i="2"/>
  <c r="A25" i="2"/>
  <c r="F24" i="2"/>
  <c r="E24" i="2"/>
  <c r="D24" i="2"/>
  <c r="C24" i="2"/>
  <c r="B24" i="2"/>
  <c r="A24" i="2"/>
  <c r="F23" i="2"/>
  <c r="E23" i="2"/>
  <c r="D23" i="2"/>
  <c r="C23" i="2"/>
  <c r="B23" i="2"/>
  <c r="A23" i="2"/>
  <c r="F22" i="2"/>
  <c r="E22" i="2"/>
  <c r="D22" i="2"/>
  <c r="B22" i="2"/>
  <c r="A22" i="2"/>
  <c r="E21" i="2"/>
  <c r="A21" i="2"/>
  <c r="G20" i="2"/>
  <c r="G19" i="2"/>
  <c r="G18" i="2"/>
  <c r="G17" i="2"/>
  <c r="T48" i="2" s="1"/>
  <c r="G16" i="2"/>
  <c r="Q58" i="2" s="1"/>
  <c r="E15" i="2"/>
  <c r="A15" i="2"/>
  <c r="E14" i="2"/>
  <c r="A14" i="2"/>
  <c r="F13" i="2"/>
  <c r="E13" i="2"/>
  <c r="D13" i="2"/>
  <c r="C13" i="2"/>
  <c r="A13" i="2"/>
  <c r="E11" i="2"/>
  <c r="A11" i="2"/>
  <c r="F10" i="2"/>
  <c r="E10" i="2"/>
  <c r="D10" i="2"/>
  <c r="C10" i="2"/>
  <c r="A10" i="2"/>
  <c r="F9" i="2"/>
  <c r="E9" i="2"/>
  <c r="C9" i="2"/>
  <c r="B9" i="2"/>
  <c r="A9" i="2"/>
  <c r="E8" i="2"/>
  <c r="A8" i="2"/>
  <c r="G7" i="2"/>
  <c r="F7" i="2"/>
  <c r="E7" i="2"/>
  <c r="D7" i="2"/>
  <c r="C7" i="2"/>
  <c r="B7" i="2"/>
  <c r="A7" i="2"/>
  <c r="G6" i="2"/>
  <c r="F6" i="2"/>
  <c r="E6" i="2"/>
  <c r="D6" i="2"/>
  <c r="C6" i="2"/>
  <c r="B6" i="2"/>
  <c r="A3" i="2"/>
  <c r="A2" i="2"/>
  <c r="A1" i="2"/>
  <c r="R92" i="1"/>
  <c r="O92" i="1"/>
  <c r="L92" i="1"/>
  <c r="K92" i="1"/>
  <c r="J92" i="1"/>
  <c r="I92" i="1"/>
  <c r="H92" i="1"/>
  <c r="E92" i="1"/>
  <c r="E101" i="2" s="1"/>
  <c r="T91" i="1"/>
  <c r="P91" i="1"/>
  <c r="C91" i="1"/>
  <c r="C100" i="2" s="1"/>
  <c r="T90" i="1"/>
  <c r="P90" i="1"/>
  <c r="P89" i="1"/>
  <c r="C89" i="1"/>
  <c r="C98" i="2" s="1"/>
  <c r="P88" i="1"/>
  <c r="P87" i="1"/>
  <c r="P92" i="1" s="1"/>
  <c r="C87" i="1"/>
  <c r="C96" i="2" s="1"/>
  <c r="P86" i="1"/>
  <c r="B86" i="1"/>
  <c r="B95" i="2" s="1"/>
  <c r="T83" i="1"/>
  <c r="O82" i="1"/>
  <c r="M82" i="1"/>
  <c r="K82" i="1"/>
  <c r="J82" i="1"/>
  <c r="I82" i="1"/>
  <c r="H82" i="1"/>
  <c r="P81" i="1"/>
  <c r="C81" i="1"/>
  <c r="P80" i="1"/>
  <c r="C80" i="1"/>
  <c r="C89" i="2" s="1"/>
  <c r="M79" i="1"/>
  <c r="P79" i="1" s="1"/>
  <c r="C79" i="1"/>
  <c r="C88" i="2" s="1"/>
  <c r="P78" i="1"/>
  <c r="E87" i="2"/>
  <c r="C78" i="1"/>
  <c r="C87" i="2" s="1"/>
  <c r="B78" i="1"/>
  <c r="B87" i="2" s="1"/>
  <c r="P77" i="1"/>
  <c r="C77" i="1"/>
  <c r="C86" i="2" s="1"/>
  <c r="P76" i="1"/>
  <c r="P75" i="1"/>
  <c r="C75" i="1"/>
  <c r="C84" i="2" s="1"/>
  <c r="L74" i="1"/>
  <c r="L82" i="1" s="1"/>
  <c r="C74" i="1"/>
  <c r="C83" i="2" s="1"/>
  <c r="T72" i="1"/>
  <c r="R71" i="1"/>
  <c r="O71" i="1"/>
  <c r="M71" i="1"/>
  <c r="L71" i="1"/>
  <c r="K71" i="1"/>
  <c r="J71" i="1"/>
  <c r="I71" i="1"/>
  <c r="H71" i="1"/>
  <c r="E71" i="1"/>
  <c r="E80" i="2" s="1"/>
  <c r="P70" i="1"/>
  <c r="C70" i="1"/>
  <c r="E170" i="3" s="1"/>
  <c r="G170" i="3" s="1"/>
  <c r="P69" i="1"/>
  <c r="C69" i="1"/>
  <c r="C78" i="2" s="1"/>
  <c r="B69" i="1"/>
  <c r="B78" i="2" s="1"/>
  <c r="P68" i="1"/>
  <c r="C68" i="1"/>
  <c r="E171" i="3" s="1"/>
  <c r="G171" i="3" s="1"/>
  <c r="P67" i="1"/>
  <c r="P66" i="1"/>
  <c r="C66" i="1"/>
  <c r="E166" i="3" s="1"/>
  <c r="P65" i="1"/>
  <c r="C65" i="1"/>
  <c r="E167" i="3" s="1"/>
  <c r="G167" i="3" s="1"/>
  <c r="P64" i="1"/>
  <c r="P63" i="1"/>
  <c r="P71" i="1" s="1"/>
  <c r="I60" i="1"/>
  <c r="I61" i="1" s="1"/>
  <c r="T59" i="1"/>
  <c r="O58" i="1"/>
  <c r="M58" i="1"/>
  <c r="K58" i="1"/>
  <c r="J58" i="1"/>
  <c r="I58" i="1"/>
  <c r="H58" i="1"/>
  <c r="E58" i="1"/>
  <c r="E67" i="2" s="1"/>
  <c r="P57" i="1"/>
  <c r="O57" i="1"/>
  <c r="M57" i="1"/>
  <c r="L57" i="1"/>
  <c r="L58" i="1" s="1"/>
  <c r="P56" i="1"/>
  <c r="P55" i="1"/>
  <c r="P54" i="1"/>
  <c r="P53" i="1"/>
  <c r="P52" i="1"/>
  <c r="P51" i="1"/>
  <c r="P50" i="1"/>
  <c r="P49" i="1"/>
  <c r="P47" i="1"/>
  <c r="P46" i="1"/>
  <c r="P44" i="1"/>
  <c r="P43" i="1"/>
  <c r="P42" i="1"/>
  <c r="P39" i="1"/>
  <c r="P38" i="1"/>
  <c r="P37" i="1"/>
  <c r="P36" i="1"/>
  <c r="P35" i="1"/>
  <c r="E32" i="1"/>
  <c r="E44" i="2" s="1"/>
  <c r="C30" i="1"/>
  <c r="C41" i="2" s="1"/>
  <c r="T28" i="1"/>
  <c r="R27" i="1"/>
  <c r="R60" i="1" s="1"/>
  <c r="O27" i="1"/>
  <c r="O60" i="1" s="1"/>
  <c r="L27" i="1"/>
  <c r="K27" i="1"/>
  <c r="K60" i="1" s="1"/>
  <c r="J27" i="1"/>
  <c r="J60" i="1" s="1"/>
  <c r="I27" i="1"/>
  <c r="H27" i="1"/>
  <c r="H60" i="1" s="1"/>
  <c r="E27" i="1"/>
  <c r="E38" i="2" s="1"/>
  <c r="P26" i="1"/>
  <c r="P25" i="1"/>
  <c r="C25" i="1"/>
  <c r="C31" i="2" s="1"/>
  <c r="P24" i="1"/>
  <c r="P23" i="1"/>
  <c r="B23" i="1"/>
  <c r="B29" i="2" s="1"/>
  <c r="M22" i="1"/>
  <c r="M27" i="1" s="1"/>
  <c r="M60" i="1" s="1"/>
  <c r="M61" i="1" s="1"/>
  <c r="C22" i="1"/>
  <c r="C28" i="2" s="1"/>
  <c r="T20" i="1"/>
  <c r="R19" i="1"/>
  <c r="R61" i="1" s="1"/>
  <c r="M19" i="1"/>
  <c r="L19" i="1"/>
  <c r="K19" i="1"/>
  <c r="K61" i="1" s="1"/>
  <c r="J19" i="1"/>
  <c r="J61" i="1" s="1"/>
  <c r="I19" i="1"/>
  <c r="E19" i="1"/>
  <c r="P18" i="1"/>
  <c r="G18" i="1"/>
  <c r="Q18" i="1" s="1"/>
  <c r="S18" i="1" s="1"/>
  <c r="P17" i="1"/>
  <c r="G17" i="1"/>
  <c r="Q17" i="1" s="1"/>
  <c r="S17" i="1" s="1"/>
  <c r="P16" i="1"/>
  <c r="C16" i="1"/>
  <c r="C22" i="2" s="1"/>
  <c r="O15" i="1"/>
  <c r="P14" i="1"/>
  <c r="C14" i="1"/>
  <c r="C15" i="2" s="1"/>
  <c r="P13" i="1"/>
  <c r="B13" i="1"/>
  <c r="B14" i="2" s="1"/>
  <c r="P11" i="1"/>
  <c r="B11" i="1"/>
  <c r="B11" i="2" s="1"/>
  <c r="P10" i="1"/>
  <c r="P9" i="1"/>
  <c r="P8" i="1"/>
  <c r="M8" i="1"/>
  <c r="H8" i="1"/>
  <c r="H19" i="1" s="1"/>
  <c r="Q93" i="2" l="1"/>
  <c r="R58" i="2"/>
  <c r="T62" i="2" s="1"/>
  <c r="M93" i="2"/>
  <c r="K93" i="2"/>
  <c r="AF60" i="5"/>
  <c r="AI60" i="5" s="1"/>
  <c r="B83" i="4"/>
  <c r="D83" i="4" s="1"/>
  <c r="M83" i="4" s="1"/>
  <c r="B92" i="1" s="1"/>
  <c r="N80" i="5"/>
  <c r="B63" i="4" s="1"/>
  <c r="E85" i="4"/>
  <c r="AG72" i="8"/>
  <c r="E96" i="1"/>
  <c r="E105" i="2" s="1"/>
  <c r="O56" i="10"/>
  <c r="Q47" i="10"/>
  <c r="P56" i="10"/>
  <c r="P57" i="10" s="1"/>
  <c r="Q54" i="10"/>
  <c r="K35" i="14"/>
  <c r="F35" i="7" s="1"/>
  <c r="K54" i="14"/>
  <c r="F54" i="7" s="1"/>
  <c r="E49" i="14"/>
  <c r="E56" i="14" s="1"/>
  <c r="O93" i="2"/>
  <c r="N93" i="2"/>
  <c r="C27" i="1"/>
  <c r="C38" i="2" s="1"/>
  <c r="N15" i="4"/>
  <c r="B8" i="1"/>
  <c r="B8" i="2" s="1"/>
  <c r="K86" i="4"/>
  <c r="P18" i="4"/>
  <c r="B48" i="2"/>
  <c r="G36" i="1"/>
  <c r="B56" i="4"/>
  <c r="F75" i="8"/>
  <c r="L60" i="1"/>
  <c r="L61" i="1" s="1"/>
  <c r="F162" i="3"/>
  <c r="F54" i="4"/>
  <c r="B87" i="4"/>
  <c r="B53" i="4"/>
  <c r="B54" i="4" s="1"/>
  <c r="F38" i="13"/>
  <c r="C38" i="7" s="1"/>
  <c r="H61" i="1"/>
  <c r="P58" i="1"/>
  <c r="P60" i="1" s="1"/>
  <c r="P82" i="1"/>
  <c r="H93" i="2"/>
  <c r="P93" i="2"/>
  <c r="AL175" i="3"/>
  <c r="B15" i="1"/>
  <c r="B21" i="2" s="1"/>
  <c r="B56" i="1"/>
  <c r="B65" i="2" s="1"/>
  <c r="C53" i="4"/>
  <c r="C54" i="4" s="1"/>
  <c r="E86" i="4"/>
  <c r="I86" i="4"/>
  <c r="G76" i="5"/>
  <c r="F22" i="3"/>
  <c r="C35" i="6"/>
  <c r="H14" i="6"/>
  <c r="G56" i="10"/>
  <c r="H31" i="11"/>
  <c r="O19" i="1"/>
  <c r="O61" i="1" s="1"/>
  <c r="P15" i="1"/>
  <c r="P19" i="1" s="1"/>
  <c r="P61" i="1" s="1"/>
  <c r="B22" i="1"/>
  <c r="B28" i="2" s="1"/>
  <c r="J54" i="4"/>
  <c r="D22" i="5"/>
  <c r="D120" i="3"/>
  <c r="D162" i="3" s="1"/>
  <c r="D9" i="3" s="1"/>
  <c r="S22" i="5"/>
  <c r="AF22" i="5" s="1"/>
  <c r="AI22" i="5" s="1"/>
  <c r="AD76" i="5"/>
  <c r="B67" i="4"/>
  <c r="F78" i="5"/>
  <c r="B34" i="6"/>
  <c r="B35" i="6" s="1"/>
  <c r="S19" i="2"/>
  <c r="T49" i="2" s="1"/>
  <c r="T54" i="2" s="1"/>
  <c r="D15" i="4"/>
  <c r="M23" i="4"/>
  <c r="M26" i="4"/>
  <c r="B30" i="1" s="1"/>
  <c r="B41" i="2" s="1"/>
  <c r="D28" i="4"/>
  <c r="M28" i="4" s="1"/>
  <c r="N51" i="4"/>
  <c r="B35" i="1"/>
  <c r="B47" i="2" s="1"/>
  <c r="F86" i="4"/>
  <c r="J86" i="4"/>
  <c r="AD64" i="5"/>
  <c r="AL71" i="5" s="1"/>
  <c r="D57" i="4"/>
  <c r="M57" i="4" s="1"/>
  <c r="B64" i="1"/>
  <c r="B73" i="2" s="1"/>
  <c r="I49" i="8"/>
  <c r="V48" i="8"/>
  <c r="P49" i="8"/>
  <c r="V67" i="8"/>
  <c r="K31" i="10"/>
  <c r="R47" i="10"/>
  <c r="D47" i="7" s="1"/>
  <c r="G38" i="14"/>
  <c r="G49" i="14" s="1"/>
  <c r="G56" i="14" s="1"/>
  <c r="G57" i="14" s="1"/>
  <c r="K33" i="14"/>
  <c r="F33" i="7" s="1"/>
  <c r="N41" i="15"/>
  <c r="D47" i="16"/>
  <c r="N47" i="15" s="1"/>
  <c r="F61" i="12"/>
  <c r="F68" i="12" s="1"/>
  <c r="G50" i="12"/>
  <c r="V71" i="19"/>
  <c r="X41" i="19"/>
  <c r="X71" i="19" s="1"/>
  <c r="I93" i="2"/>
  <c r="C51" i="4"/>
  <c r="C87" i="4" s="1"/>
  <c r="C86" i="4" s="1"/>
  <c r="E34" i="6"/>
  <c r="E35" i="6" s="1"/>
  <c r="E57" i="6"/>
  <c r="C69" i="6"/>
  <c r="C68" i="6" s="1"/>
  <c r="Q49" i="8"/>
  <c r="AD75" i="8"/>
  <c r="O75" i="8"/>
  <c r="Q76" i="8"/>
  <c r="D28" i="9"/>
  <c r="M58" i="10"/>
  <c r="M57" i="10" s="1"/>
  <c r="M30" i="10"/>
  <c r="M31" i="10" s="1"/>
  <c r="Q30" i="10"/>
  <c r="G31" i="11"/>
  <c r="E30" i="11"/>
  <c r="D28" i="13"/>
  <c r="F34" i="13"/>
  <c r="C34" i="7" s="1"/>
  <c r="D35" i="17"/>
  <c r="H35" i="17" s="1"/>
  <c r="R56" i="8" s="1"/>
  <c r="B46" i="17"/>
  <c r="D11" i="24"/>
  <c r="D27" i="24" s="1"/>
  <c r="P74" i="1"/>
  <c r="E82" i="1"/>
  <c r="E91" i="2" s="1"/>
  <c r="D22" i="4"/>
  <c r="M22" i="4" s="1"/>
  <c r="B26" i="1" s="1"/>
  <c r="B37" i="2" s="1"/>
  <c r="D80" i="4"/>
  <c r="M80" i="4" s="1"/>
  <c r="B57" i="6"/>
  <c r="E27" i="7"/>
  <c r="N49" i="8"/>
  <c r="X13" i="8"/>
  <c r="AF49" i="8"/>
  <c r="U65" i="8"/>
  <c r="I76" i="8"/>
  <c r="K76" i="8" s="1"/>
  <c r="D22" i="9"/>
  <c r="E57" i="9"/>
  <c r="Q14" i="10"/>
  <c r="Q31" i="10" s="1"/>
  <c r="J14" i="10"/>
  <c r="R9" i="10"/>
  <c r="D9" i="7" s="1"/>
  <c r="R11" i="10"/>
  <c r="D11" i="7" s="1"/>
  <c r="G22" i="10"/>
  <c r="G30" i="10" s="1"/>
  <c r="G31" i="10" s="1"/>
  <c r="G57" i="10"/>
  <c r="C31" i="11"/>
  <c r="D14" i="13"/>
  <c r="E57" i="13"/>
  <c r="H31" i="14"/>
  <c r="J22" i="14"/>
  <c r="J30" i="14" s="1"/>
  <c r="K17" i="14"/>
  <c r="F17" i="7" s="1"/>
  <c r="D47" i="14"/>
  <c r="K41" i="14"/>
  <c r="F41" i="7" s="1"/>
  <c r="G8" i="17"/>
  <c r="H8" i="17" s="1"/>
  <c r="R8" i="8" s="1"/>
  <c r="F13" i="17"/>
  <c r="Y48" i="19"/>
  <c r="Z53" i="8" s="1"/>
  <c r="AC169" i="3" s="1"/>
  <c r="AI169" i="3" s="1"/>
  <c r="AK169" i="3" s="1"/>
  <c r="T70" i="19"/>
  <c r="F99" i="3"/>
  <c r="D35" i="6"/>
  <c r="D38" i="9"/>
  <c r="G56" i="11"/>
  <c r="G57" i="11" s="1"/>
  <c r="G30" i="14"/>
  <c r="K22" i="14"/>
  <c r="F22" i="7" s="1"/>
  <c r="G26" i="17"/>
  <c r="G55" i="17" s="1"/>
  <c r="H23" i="17"/>
  <c r="R24" i="8" s="1"/>
  <c r="Y67" i="19"/>
  <c r="Z72" i="8" s="1"/>
  <c r="D72" i="20"/>
  <c r="D24" i="24"/>
  <c r="B53" i="24"/>
  <c r="B26" i="24"/>
  <c r="D26" i="24" s="1"/>
  <c r="E60" i="1"/>
  <c r="E69" i="2" s="1"/>
  <c r="H99" i="3"/>
  <c r="C13" i="3" s="1"/>
  <c r="P22" i="1"/>
  <c r="P27" i="1" s="1"/>
  <c r="L93" i="2"/>
  <c r="D99" i="3"/>
  <c r="C9" i="3" s="1"/>
  <c r="S7" i="5"/>
  <c r="AF7" i="5" s="1"/>
  <c r="AI7" i="5" s="1"/>
  <c r="AF39" i="5"/>
  <c r="AI39" i="5" s="1"/>
  <c r="AF55" i="5"/>
  <c r="AI55" i="5" s="1"/>
  <c r="C34" i="6"/>
  <c r="G26" i="6"/>
  <c r="G34" i="6" s="1"/>
  <c r="G35" i="6" s="1"/>
  <c r="AG21" i="8"/>
  <c r="AE48" i="8"/>
  <c r="AG48" i="8" s="1"/>
  <c r="AI35" i="8"/>
  <c r="AE76" i="8"/>
  <c r="C57" i="9"/>
  <c r="E31" i="10"/>
  <c r="O31" i="10"/>
  <c r="J28" i="10"/>
  <c r="O57" i="10"/>
  <c r="N47" i="10"/>
  <c r="N49" i="10" s="1"/>
  <c r="N56" i="10" s="1"/>
  <c r="R42" i="10"/>
  <c r="D42" i="7" s="1"/>
  <c r="D54" i="10"/>
  <c r="R54" i="10" s="1"/>
  <c r="D54" i="7" s="1"/>
  <c r="D28" i="11"/>
  <c r="D38" i="11"/>
  <c r="H38" i="11"/>
  <c r="H47" i="11"/>
  <c r="H43" i="11"/>
  <c r="B30" i="13"/>
  <c r="D30" i="13" s="1"/>
  <c r="D22" i="13"/>
  <c r="F22" i="13" s="1"/>
  <c r="C22" i="7" s="1"/>
  <c r="D47" i="13"/>
  <c r="F47" i="13" s="1"/>
  <c r="C47" i="7" s="1"/>
  <c r="F30" i="14"/>
  <c r="B58" i="14"/>
  <c r="B57" i="14" s="1"/>
  <c r="D28" i="14"/>
  <c r="B30" i="14"/>
  <c r="D30" i="14" s="1"/>
  <c r="K30" i="14" s="1"/>
  <c r="F30" i="7" s="1"/>
  <c r="K34" i="14"/>
  <c r="F34" i="7" s="1"/>
  <c r="D38" i="14"/>
  <c r="G47" i="14"/>
  <c r="O51" i="15"/>
  <c r="G51" i="7" s="1"/>
  <c r="O52" i="15"/>
  <c r="G52" i="7" s="1"/>
  <c r="G53" i="7"/>
  <c r="O53" i="15"/>
  <c r="C57" i="16"/>
  <c r="C47" i="16"/>
  <c r="AH45" i="8"/>
  <c r="D45" i="8"/>
  <c r="AI45" i="8" s="1"/>
  <c r="F69" i="12"/>
  <c r="U44" i="19"/>
  <c r="I48" i="8"/>
  <c r="K21" i="8"/>
  <c r="E48" i="8"/>
  <c r="E49" i="8" s="1"/>
  <c r="X46" i="8"/>
  <c r="X76" i="8" s="1"/>
  <c r="C67" i="8"/>
  <c r="C74" i="8" s="1"/>
  <c r="C75" i="8" s="1"/>
  <c r="K56" i="8"/>
  <c r="U56" i="8"/>
  <c r="U67" i="8" s="1"/>
  <c r="U74" i="8" s="1"/>
  <c r="U75" i="8" s="1"/>
  <c r="V76" i="8"/>
  <c r="R12" i="10"/>
  <c r="D12" i="7" s="1"/>
  <c r="N22" i="10"/>
  <c r="N28" i="10"/>
  <c r="N58" i="10" s="1"/>
  <c r="R34" i="10"/>
  <c r="D34" i="7" s="1"/>
  <c r="E49" i="10"/>
  <c r="E56" i="10" s="1"/>
  <c r="E57" i="10" s="1"/>
  <c r="I49" i="10"/>
  <c r="I56" i="10" s="1"/>
  <c r="I57" i="10" s="1"/>
  <c r="E31" i="11"/>
  <c r="D22" i="11"/>
  <c r="D43" i="11"/>
  <c r="I43" i="11" s="1"/>
  <c r="E43" i="7" s="1"/>
  <c r="I41" i="11"/>
  <c r="E41" i="7" s="1"/>
  <c r="G14" i="14"/>
  <c r="G31" i="14" s="1"/>
  <c r="J14" i="14"/>
  <c r="J31" i="14" s="1"/>
  <c r="K13" i="14"/>
  <c r="F13" i="7" s="1"/>
  <c r="I31" i="14"/>
  <c r="K26" i="14"/>
  <c r="F26" i="7" s="1"/>
  <c r="E31" i="14"/>
  <c r="K37" i="14"/>
  <c r="F37" i="7" s="1"/>
  <c r="E57" i="14"/>
  <c r="J31" i="15"/>
  <c r="J22" i="15"/>
  <c r="J30" i="15" s="1"/>
  <c r="J28" i="15"/>
  <c r="J58" i="15" s="1"/>
  <c r="J38" i="15"/>
  <c r="F43" i="12"/>
  <c r="H69" i="12"/>
  <c r="H20" i="17"/>
  <c r="I41" i="19"/>
  <c r="I71" i="19" s="1"/>
  <c r="G71" i="19"/>
  <c r="F62" i="19"/>
  <c r="F69" i="19" s="1"/>
  <c r="D69" i="19"/>
  <c r="D70" i="19" s="1"/>
  <c r="Q56" i="8"/>
  <c r="P67" i="8"/>
  <c r="P74" i="8" s="1"/>
  <c r="X65" i="8"/>
  <c r="S67" i="8"/>
  <c r="S74" i="8" s="1"/>
  <c r="S75" i="8" s="1"/>
  <c r="B56" i="9"/>
  <c r="B57" i="9" s="1"/>
  <c r="F41" i="9"/>
  <c r="B41" i="7" s="1"/>
  <c r="R13" i="10"/>
  <c r="D13" i="7" s="1"/>
  <c r="H30" i="10"/>
  <c r="H31" i="10" s="1"/>
  <c r="R25" i="10"/>
  <c r="D25" i="7" s="1"/>
  <c r="R53" i="10"/>
  <c r="D53" i="7" s="1"/>
  <c r="I53" i="7" s="1"/>
  <c r="D91" i="1" s="1"/>
  <c r="D100" i="2" s="1"/>
  <c r="I8" i="11"/>
  <c r="E8" i="7" s="1"/>
  <c r="H22" i="11"/>
  <c r="H30" i="11" s="1"/>
  <c r="D47" i="11"/>
  <c r="E30" i="13"/>
  <c r="E31" i="13" s="1"/>
  <c r="K25" i="14"/>
  <c r="F25" i="7" s="1"/>
  <c r="K36" i="14"/>
  <c r="F36" i="7" s="1"/>
  <c r="K52" i="14"/>
  <c r="F52" i="7" s="1"/>
  <c r="I52" i="7" s="1"/>
  <c r="D90" i="1" s="1"/>
  <c r="D99" i="2" s="1"/>
  <c r="I57" i="14"/>
  <c r="B56" i="16"/>
  <c r="D19" i="8"/>
  <c r="D18" i="8"/>
  <c r="F55" i="17"/>
  <c r="F54" i="17" s="1"/>
  <c r="F28" i="17"/>
  <c r="F35" i="17"/>
  <c r="F46" i="17" s="1"/>
  <c r="F53" i="17" s="1"/>
  <c r="G31" i="17"/>
  <c r="G35" i="17" s="1"/>
  <c r="Y10" i="19"/>
  <c r="Z10" i="8" s="1"/>
  <c r="O13" i="19"/>
  <c r="N70" i="19"/>
  <c r="C49" i="14"/>
  <c r="C56" i="14" s="1"/>
  <c r="C57" i="14" s="1"/>
  <c r="K51" i="14"/>
  <c r="F51" i="7" s="1"/>
  <c r="N33" i="15"/>
  <c r="O33" i="15" s="1"/>
  <c r="G33" i="7" s="1"/>
  <c r="D38" i="16"/>
  <c r="E43" i="12"/>
  <c r="G20" i="12"/>
  <c r="I20" i="12" s="1"/>
  <c r="D21" i="8" s="1"/>
  <c r="I26" i="12"/>
  <c r="D27" i="8" s="1"/>
  <c r="I34" i="12"/>
  <c r="D39" i="8" s="1"/>
  <c r="E70" i="12"/>
  <c r="G41" i="12"/>
  <c r="I48" i="12"/>
  <c r="D54" i="8" s="1"/>
  <c r="AI54" i="8" s="1"/>
  <c r="F68" i="1" s="1"/>
  <c r="F77" i="2" s="1"/>
  <c r="I58" i="12"/>
  <c r="D64" i="8" s="1"/>
  <c r="H19" i="17"/>
  <c r="R20" i="8" s="1"/>
  <c r="D55" i="17"/>
  <c r="H26" i="17"/>
  <c r="R46" i="8" s="1"/>
  <c r="B28" i="17"/>
  <c r="D28" i="17" s="1"/>
  <c r="H41" i="17"/>
  <c r="R62" i="8" s="1"/>
  <c r="H44" i="17"/>
  <c r="D51" i="17"/>
  <c r="H51" i="17" s="1"/>
  <c r="R72" i="8" s="1"/>
  <c r="B55" i="17"/>
  <c r="V43" i="19"/>
  <c r="Y47" i="19"/>
  <c r="Z52" i="8" s="1"/>
  <c r="AC166" i="3" s="1"/>
  <c r="G62" i="19"/>
  <c r="I51" i="19"/>
  <c r="Y60" i="19"/>
  <c r="Z65" i="8" s="1"/>
  <c r="E69" i="19"/>
  <c r="E70" i="19" s="1"/>
  <c r="O62" i="19"/>
  <c r="O69" i="19" s="1"/>
  <c r="M69" i="19"/>
  <c r="M70" i="19" s="1"/>
  <c r="Q13" i="20"/>
  <c r="N12" i="20"/>
  <c r="Y12" i="20" s="1"/>
  <c r="AA12" i="8" s="1"/>
  <c r="W44" i="20"/>
  <c r="W45" i="20" s="1"/>
  <c r="N24" i="20"/>
  <c r="Y24" i="20" s="1"/>
  <c r="H63" i="20"/>
  <c r="H70" i="20" s="1"/>
  <c r="J52" i="20"/>
  <c r="M63" i="20"/>
  <c r="E44" i="19"/>
  <c r="W43" i="19"/>
  <c r="W44" i="19" s="1"/>
  <c r="O41" i="19"/>
  <c r="O71" i="19" s="1"/>
  <c r="O70" i="19" s="1"/>
  <c r="D43" i="19"/>
  <c r="F43" i="19" s="1"/>
  <c r="N69" i="19"/>
  <c r="R69" i="19"/>
  <c r="R70" i="19" s="1"/>
  <c r="T13" i="20"/>
  <c r="T45" i="20" s="1"/>
  <c r="N25" i="20"/>
  <c r="Y25" i="20" s="1"/>
  <c r="AA25" i="8" s="1"/>
  <c r="N33" i="20"/>
  <c r="Y33" i="20" s="1"/>
  <c r="AA36" i="8" s="1"/>
  <c r="N41" i="20"/>
  <c r="Y41" i="20" s="1"/>
  <c r="AA45" i="8" s="1"/>
  <c r="H72" i="20"/>
  <c r="H71" i="20" s="1"/>
  <c r="J71" i="20" s="1"/>
  <c r="J42" i="20"/>
  <c r="J72" i="20" s="1"/>
  <c r="H44" i="20"/>
  <c r="H45" i="20" s="1"/>
  <c r="U70" i="20"/>
  <c r="M68" i="20"/>
  <c r="L70" i="20"/>
  <c r="L71" i="20" s="1"/>
  <c r="H65" i="6"/>
  <c r="B67" i="8"/>
  <c r="B74" i="8" s="1"/>
  <c r="B75" i="8" s="1"/>
  <c r="AF67" i="8"/>
  <c r="AF74" i="8" s="1"/>
  <c r="AF75" i="8" s="1"/>
  <c r="C31" i="9"/>
  <c r="R27" i="10"/>
  <c r="D27" i="7" s="1"/>
  <c r="R33" i="10"/>
  <c r="D33" i="7" s="1"/>
  <c r="C49" i="10"/>
  <c r="C56" i="10" s="1"/>
  <c r="K10" i="14"/>
  <c r="F10" i="7" s="1"/>
  <c r="F31" i="14"/>
  <c r="K53" i="14"/>
  <c r="F53" i="7" s="1"/>
  <c r="G30" i="15"/>
  <c r="G31" i="15" s="1"/>
  <c r="G28" i="15"/>
  <c r="G58" i="15" s="1"/>
  <c r="G47" i="15"/>
  <c r="G49" i="15" s="1"/>
  <c r="G56" i="15" s="1"/>
  <c r="D28" i="16"/>
  <c r="C49" i="16"/>
  <c r="C56" i="16" s="1"/>
  <c r="B57" i="16"/>
  <c r="I17" i="12"/>
  <c r="D17" i="8" s="1"/>
  <c r="AI17" i="8" s="1"/>
  <c r="F23" i="1" s="1"/>
  <c r="F29" i="2" s="1"/>
  <c r="I22" i="12"/>
  <c r="I30" i="12"/>
  <c r="D33" i="8" s="1"/>
  <c r="I38" i="12"/>
  <c r="D43" i="8" s="1"/>
  <c r="B70" i="12"/>
  <c r="D41" i="12"/>
  <c r="I41" i="12" s="1"/>
  <c r="D46" i="8" s="1"/>
  <c r="B43" i="12"/>
  <c r="D43" i="12" s="1"/>
  <c r="I44" i="12"/>
  <c r="I54" i="12"/>
  <c r="E61" i="12"/>
  <c r="I64" i="12"/>
  <c r="D70" i="8" s="1"/>
  <c r="G13" i="17"/>
  <c r="G44" i="17"/>
  <c r="H24" i="18"/>
  <c r="Y25" i="8" s="1"/>
  <c r="AI25" i="8" s="1"/>
  <c r="F35" i="1" s="1"/>
  <c r="G35" i="1" s="1"/>
  <c r="H32" i="18"/>
  <c r="Y36" i="8" s="1"/>
  <c r="AI36" i="8" s="1"/>
  <c r="F47" i="1" s="1"/>
  <c r="H40" i="18"/>
  <c r="Y45" i="8" s="1"/>
  <c r="D41" i="18"/>
  <c r="H50" i="18"/>
  <c r="Y55" i="8" s="1"/>
  <c r="AB170" i="3" s="1"/>
  <c r="AI170" i="3" s="1"/>
  <c r="AK170" i="3" s="1"/>
  <c r="G51" i="18"/>
  <c r="E62" i="18"/>
  <c r="H58" i="18"/>
  <c r="Y63" i="8" s="1"/>
  <c r="F70" i="18"/>
  <c r="Y9" i="19"/>
  <c r="Z9" i="8" s="1"/>
  <c r="Y12" i="19"/>
  <c r="Z12" i="8" s="1"/>
  <c r="I13" i="19"/>
  <c r="I44" i="19" s="1"/>
  <c r="Q44" i="19"/>
  <c r="Y19" i="19"/>
  <c r="Z20" i="8" s="1"/>
  <c r="AI20" i="8" s="1"/>
  <c r="F26" i="1" s="1"/>
  <c r="F37" i="2" s="1"/>
  <c r="J43" i="19"/>
  <c r="N43" i="19"/>
  <c r="N44" i="19" s="1"/>
  <c r="F71" i="19"/>
  <c r="F70" i="19" s="1"/>
  <c r="P70" i="19"/>
  <c r="M43" i="19"/>
  <c r="O43" i="19" s="1"/>
  <c r="J62" i="19"/>
  <c r="L51" i="19"/>
  <c r="O51" i="19"/>
  <c r="Y51" i="19" s="1"/>
  <c r="Z56" i="8" s="1"/>
  <c r="S62" i="19"/>
  <c r="U51" i="19"/>
  <c r="Q69" i="19"/>
  <c r="Q70" i="19" s="1"/>
  <c r="Y64" i="19"/>
  <c r="Z69" i="8" s="1"/>
  <c r="AI69" i="8" s="1"/>
  <c r="F86" i="1" s="1"/>
  <c r="F95" i="2" s="1"/>
  <c r="O67" i="19"/>
  <c r="S71" i="19"/>
  <c r="J13" i="20"/>
  <c r="M44" i="20"/>
  <c r="M45" i="20" s="1"/>
  <c r="W63" i="20"/>
  <c r="W70" i="20" s="1"/>
  <c r="J61" i="20"/>
  <c r="F43" i="22"/>
  <c r="G20" i="22"/>
  <c r="B49" i="23"/>
  <c r="B23" i="23"/>
  <c r="M14" i="15"/>
  <c r="M31" i="15" s="1"/>
  <c r="M22" i="15"/>
  <c r="D14" i="16"/>
  <c r="N14" i="15" s="1"/>
  <c r="D22" i="16"/>
  <c r="D54" i="16"/>
  <c r="N54" i="15" s="1"/>
  <c r="O54" i="15" s="1"/>
  <c r="G54" i="7" s="1"/>
  <c r="H11" i="17"/>
  <c r="R11" i="8" s="1"/>
  <c r="D44" i="19"/>
  <c r="I45" i="20"/>
  <c r="S45" i="20"/>
  <c r="N27" i="20"/>
  <c r="Y27" i="20" s="1"/>
  <c r="AA27" i="8" s="1"/>
  <c r="N31" i="20"/>
  <c r="Y31" i="20" s="1"/>
  <c r="AA33" i="8" s="1"/>
  <c r="N35" i="20"/>
  <c r="Y35" i="20" s="1"/>
  <c r="AA39" i="8" s="1"/>
  <c r="N39" i="20"/>
  <c r="Y39" i="20" s="1"/>
  <c r="AA43" i="8" s="1"/>
  <c r="N47" i="20"/>
  <c r="Y47" i="20" s="1"/>
  <c r="AA51" i="8" s="1"/>
  <c r="AD167" i="3" s="1"/>
  <c r="T63" i="20"/>
  <c r="T70" i="20" s="1"/>
  <c r="E70" i="20"/>
  <c r="E71" i="20" s="1"/>
  <c r="G71" i="20" s="1"/>
  <c r="W61" i="20"/>
  <c r="D68" i="20"/>
  <c r="G8" i="7"/>
  <c r="O8" i="15"/>
  <c r="O9" i="15"/>
  <c r="G9" i="7" s="1"/>
  <c r="I9" i="7" s="1"/>
  <c r="D9" i="1" s="1"/>
  <c r="G9" i="1" s="1"/>
  <c r="G9" i="2" s="1"/>
  <c r="G10" i="7"/>
  <c r="O10" i="15"/>
  <c r="O11" i="15"/>
  <c r="G11" i="7" s="1"/>
  <c r="G12" i="7"/>
  <c r="O12" i="15"/>
  <c r="O13" i="15"/>
  <c r="D22" i="15"/>
  <c r="O17" i="15"/>
  <c r="G17" i="7" s="1"/>
  <c r="I17" i="7" s="1"/>
  <c r="D22" i="1" s="1"/>
  <c r="D28" i="2" s="1"/>
  <c r="G18" i="7"/>
  <c r="O18" i="15"/>
  <c r="O19" i="15"/>
  <c r="G19" i="7" s="1"/>
  <c r="I19" i="7" s="1"/>
  <c r="D24" i="1" s="1"/>
  <c r="G20" i="7"/>
  <c r="O20" i="15"/>
  <c r="O21" i="15"/>
  <c r="G21" i="7" s="1"/>
  <c r="I21" i="7" s="1"/>
  <c r="D26" i="1" s="1"/>
  <c r="G26" i="1" s="1"/>
  <c r="D28" i="15"/>
  <c r="O25" i="15"/>
  <c r="O26" i="15"/>
  <c r="G26" i="7" s="1"/>
  <c r="G27" i="7"/>
  <c r="O27" i="15"/>
  <c r="B30" i="15"/>
  <c r="B31" i="15" s="1"/>
  <c r="O34" i="15"/>
  <c r="G34" i="7" s="1"/>
  <c r="I34" i="7" s="1"/>
  <c r="D66" i="1" s="1"/>
  <c r="D75" i="2" s="1"/>
  <c r="H166" i="3" s="1"/>
  <c r="G35" i="7"/>
  <c r="O35" i="15"/>
  <c r="O36" i="15"/>
  <c r="G36" i="7" s="1"/>
  <c r="I36" i="7" s="1"/>
  <c r="D68" i="1" s="1"/>
  <c r="D77" i="2" s="1"/>
  <c r="G37" i="7"/>
  <c r="I37" i="7" s="1"/>
  <c r="D70" i="1" s="1"/>
  <c r="D79" i="2" s="1"/>
  <c r="O37" i="15"/>
  <c r="B56" i="15"/>
  <c r="H56" i="15"/>
  <c r="H57" i="15" s="1"/>
  <c r="D47" i="15"/>
  <c r="O41" i="15"/>
  <c r="O42" i="15"/>
  <c r="G42" i="7" s="1"/>
  <c r="G43" i="7"/>
  <c r="O43" i="15"/>
  <c r="O44" i="15"/>
  <c r="G44" i="7" s="1"/>
  <c r="I44" i="7" s="1"/>
  <c r="D77" i="1" s="1"/>
  <c r="D86" i="2" s="1"/>
  <c r="G45" i="7"/>
  <c r="O45" i="15"/>
  <c r="O46" i="15"/>
  <c r="G46" i="7" s="1"/>
  <c r="I46" i="7" s="1"/>
  <c r="D79" i="1" s="1"/>
  <c r="D88" i="2" s="1"/>
  <c r="M54" i="15"/>
  <c r="I49" i="12"/>
  <c r="D55" i="8" s="1"/>
  <c r="P170" i="3" s="1"/>
  <c r="H9" i="18"/>
  <c r="Y9" i="8" s="1"/>
  <c r="H48" i="18"/>
  <c r="Y53" i="8" s="1"/>
  <c r="AB169" i="3" s="1"/>
  <c r="AB176" i="3" s="1"/>
  <c r="N11" i="20"/>
  <c r="Y11" i="20" s="1"/>
  <c r="AA11" i="8" s="1"/>
  <c r="AI11" i="8" s="1"/>
  <c r="F14" i="1" s="1"/>
  <c r="F15" i="2" s="1"/>
  <c r="E45" i="20"/>
  <c r="O45" i="20"/>
  <c r="N16" i="20"/>
  <c r="Y16" i="20" s="1"/>
  <c r="AA16" i="8" s="1"/>
  <c r="Q44" i="20"/>
  <c r="N20" i="20"/>
  <c r="Y20" i="20" s="1"/>
  <c r="AA20" i="8" s="1"/>
  <c r="N26" i="20"/>
  <c r="Y26" i="20" s="1"/>
  <c r="AA26" i="8" s="1"/>
  <c r="N30" i="20"/>
  <c r="Y30" i="20" s="1"/>
  <c r="AA32" i="8" s="1"/>
  <c r="N34" i="20"/>
  <c r="Y34" i="20" s="1"/>
  <c r="AA38" i="8" s="1"/>
  <c r="AI38" i="8" s="1"/>
  <c r="F49" i="1" s="1"/>
  <c r="N38" i="20"/>
  <c r="Y38" i="20" s="1"/>
  <c r="AA42" i="8" s="1"/>
  <c r="AI42" i="8" s="1"/>
  <c r="F53" i="1" s="1"/>
  <c r="G53" i="1" s="1"/>
  <c r="Q42" i="20"/>
  <c r="Q72" i="20" s="1"/>
  <c r="W42" i="20"/>
  <c r="W72" i="20" s="1"/>
  <c r="U72" i="20"/>
  <c r="U71" i="20" s="1"/>
  <c r="U44" i="20"/>
  <c r="U45" i="20" s="1"/>
  <c r="N58" i="20"/>
  <c r="Y58" i="20" s="1"/>
  <c r="N65" i="20"/>
  <c r="Y65" i="20" s="1"/>
  <c r="AA69" i="8" s="1"/>
  <c r="E59" i="21"/>
  <c r="AB65" i="8" s="1"/>
  <c r="D69" i="21"/>
  <c r="H38" i="22"/>
  <c r="AH43" i="8" s="1"/>
  <c r="B70" i="22"/>
  <c r="D41" i="22"/>
  <c r="C69" i="22"/>
  <c r="D21" i="20"/>
  <c r="L44" i="20"/>
  <c r="L45" i="20" s="1"/>
  <c r="P44" i="20"/>
  <c r="P45" i="20" s="1"/>
  <c r="X44" i="20"/>
  <c r="X45" i="20" s="1"/>
  <c r="B71" i="20"/>
  <c r="F71" i="20"/>
  <c r="R71" i="20"/>
  <c r="V71" i="20"/>
  <c r="N49" i="20"/>
  <c r="Y49" i="20" s="1"/>
  <c r="AA53" i="8" s="1"/>
  <c r="AD169" i="3" s="1"/>
  <c r="M61" i="20"/>
  <c r="N56" i="20"/>
  <c r="Y56" i="20" s="1"/>
  <c r="AA60" i="8" s="1"/>
  <c r="AI60" i="8" s="1"/>
  <c r="F75" i="1" s="1"/>
  <c r="F84" i="2" s="1"/>
  <c r="N60" i="20"/>
  <c r="Y60" i="20" s="1"/>
  <c r="AA64" i="8" s="1"/>
  <c r="AI64" i="8" s="1"/>
  <c r="F79" i="1" s="1"/>
  <c r="F88" i="2" s="1"/>
  <c r="E13" i="21"/>
  <c r="B43" i="21"/>
  <c r="B68" i="21"/>
  <c r="E68" i="21" s="1"/>
  <c r="AB74" i="8" s="1"/>
  <c r="E61" i="21"/>
  <c r="AB67" i="8" s="1"/>
  <c r="E70" i="22"/>
  <c r="G70" i="22" s="1"/>
  <c r="G41" i="22"/>
  <c r="B61" i="22"/>
  <c r="B68" i="22" s="1"/>
  <c r="D50" i="22"/>
  <c r="D61" i="22" s="1"/>
  <c r="D68" i="22" s="1"/>
  <c r="C45" i="20"/>
  <c r="C71" i="20"/>
  <c r="K71" i="20"/>
  <c r="M71" i="20" s="1"/>
  <c r="O71" i="20"/>
  <c r="Q71" i="20" s="1"/>
  <c r="S71" i="20"/>
  <c r="G52" i="20"/>
  <c r="G63" i="20" s="1"/>
  <c r="G70" i="20" s="1"/>
  <c r="N48" i="20"/>
  <c r="Y48" i="20" s="1"/>
  <c r="AA52" i="8" s="1"/>
  <c r="AD166" i="3" s="1"/>
  <c r="D61" i="20"/>
  <c r="Q61" i="20"/>
  <c r="Q63" i="20" s="1"/>
  <c r="Q70" i="20" s="1"/>
  <c r="N59" i="20"/>
  <c r="Y59" i="20" s="1"/>
  <c r="AA63" i="8" s="1"/>
  <c r="AI63" i="8" s="1"/>
  <c r="F78" i="1" s="1"/>
  <c r="F87" i="2" s="1"/>
  <c r="N66" i="20"/>
  <c r="Y66" i="20" s="1"/>
  <c r="AA70" i="8" s="1"/>
  <c r="C44" i="21"/>
  <c r="C69" i="21"/>
  <c r="H10" i="22"/>
  <c r="AH10" i="8" s="1"/>
  <c r="H13" i="22"/>
  <c r="AH13" i="8" s="1"/>
  <c r="D20" i="22"/>
  <c r="H16" i="22"/>
  <c r="AH16" i="8" s="1"/>
  <c r="E43" i="22"/>
  <c r="G43" i="22" s="1"/>
  <c r="F69" i="22"/>
  <c r="H55" i="22"/>
  <c r="AH61" i="8" s="1"/>
  <c r="B47" i="23"/>
  <c r="C44" i="24"/>
  <c r="C51" i="24" s="1"/>
  <c r="D51" i="24" s="1"/>
  <c r="N55" i="20"/>
  <c r="Y55" i="20" s="1"/>
  <c r="AA59" i="8" s="1"/>
  <c r="H47" i="22"/>
  <c r="AH52" i="8" s="1"/>
  <c r="AH166" i="3" s="1"/>
  <c r="R37" i="10"/>
  <c r="D37" i="7" s="1"/>
  <c r="I12" i="11"/>
  <c r="E12" i="7" s="1"/>
  <c r="I12" i="7" s="1"/>
  <c r="D14" i="1" s="1"/>
  <c r="D14" i="14"/>
  <c r="Q38" i="10"/>
  <c r="Q49" i="10" s="1"/>
  <c r="D38" i="10"/>
  <c r="D49" i="9"/>
  <c r="F38" i="9"/>
  <c r="B38" i="7" s="1"/>
  <c r="F33" i="9"/>
  <c r="B33" i="7" s="1"/>
  <c r="B171" i="3"/>
  <c r="D171" i="3" s="1"/>
  <c r="B68" i="1"/>
  <c r="B77" i="2" s="1"/>
  <c r="D63" i="4"/>
  <c r="M63" i="4" s="1"/>
  <c r="B70" i="1" s="1"/>
  <c r="B79" i="2" s="1"/>
  <c r="B67" i="1"/>
  <c r="B76" i="2" s="1"/>
  <c r="D60" i="4"/>
  <c r="M60" i="4" s="1"/>
  <c r="D64" i="5"/>
  <c r="C99" i="3"/>
  <c r="C162" i="3"/>
  <c r="J79" i="5"/>
  <c r="B58" i="4"/>
  <c r="B59" i="4"/>
  <c r="D76" i="5"/>
  <c r="AF10" i="5"/>
  <c r="AF64" i="5" s="1"/>
  <c r="S76" i="5"/>
  <c r="E84" i="1"/>
  <c r="K169" i="3"/>
  <c r="M169" i="3" s="1"/>
  <c r="H55" i="6"/>
  <c r="C82" i="1" s="1"/>
  <c r="C91" i="2" s="1"/>
  <c r="B67" i="6"/>
  <c r="G48" i="8"/>
  <c r="G49" i="8" s="1"/>
  <c r="G75" i="8"/>
  <c r="AG13" i="8"/>
  <c r="AG49" i="8" s="1"/>
  <c r="G13" i="20"/>
  <c r="G45" i="20" s="1"/>
  <c r="X13" i="19"/>
  <c r="G44" i="19"/>
  <c r="F13" i="19"/>
  <c r="F44" i="19" s="1"/>
  <c r="R44" i="19"/>
  <c r="Y13" i="19"/>
  <c r="Z13" i="8" s="1"/>
  <c r="P44" i="19"/>
  <c r="D13" i="18"/>
  <c r="Y10" i="8"/>
  <c r="H13" i="18"/>
  <c r="Y13" i="8" s="1"/>
  <c r="Y49" i="8" s="1"/>
  <c r="S49" i="8"/>
  <c r="H13" i="17"/>
  <c r="R13" i="8" s="1"/>
  <c r="B68" i="6"/>
  <c r="E25" i="2"/>
  <c r="Q65" i="8"/>
  <c r="V62" i="19"/>
  <c r="I67" i="8"/>
  <c r="AG56" i="8"/>
  <c r="AE67" i="8"/>
  <c r="AE74" i="8" s="1"/>
  <c r="AE75" i="8" s="1"/>
  <c r="E61" i="22"/>
  <c r="D51" i="18"/>
  <c r="H51" i="18" s="1"/>
  <c r="Y56" i="8" s="1"/>
  <c r="C69" i="18"/>
  <c r="C70" i="18" s="1"/>
  <c r="D62" i="18"/>
  <c r="C61" i="12"/>
  <c r="C68" i="12" s="1"/>
  <c r="C11" i="3"/>
  <c r="D50" i="12"/>
  <c r="I50" i="12" s="1"/>
  <c r="AD48" i="8"/>
  <c r="AD49" i="8" s="1"/>
  <c r="M48" i="8"/>
  <c r="M49" i="8" s="1"/>
  <c r="B10" i="2"/>
  <c r="C77" i="2"/>
  <c r="C79" i="2"/>
  <c r="B32" i="1"/>
  <c r="G30" i="1"/>
  <c r="G41" i="2" s="1"/>
  <c r="G64" i="1"/>
  <c r="G69" i="1"/>
  <c r="Q69" i="1" s="1"/>
  <c r="S69" i="1" s="1"/>
  <c r="E169" i="3"/>
  <c r="G169" i="3" s="1"/>
  <c r="C75" i="2"/>
  <c r="G80" i="1"/>
  <c r="Q80" i="1" s="1"/>
  <c r="S80" i="1" s="1"/>
  <c r="G87" i="1"/>
  <c r="G96" i="2" s="1"/>
  <c r="R96" i="2" s="1"/>
  <c r="C80" i="2"/>
  <c r="Q10" i="1"/>
  <c r="S10" i="1" s="1"/>
  <c r="G10" i="2"/>
  <c r="G166" i="3"/>
  <c r="G16" i="1"/>
  <c r="B42" i="2"/>
  <c r="G31" i="1"/>
  <c r="G42" i="2" s="1"/>
  <c r="R42" i="2" s="1"/>
  <c r="C97" i="2"/>
  <c r="G88" i="1"/>
  <c r="B13" i="2"/>
  <c r="G23" i="2"/>
  <c r="C47" i="2"/>
  <c r="C58" i="1"/>
  <c r="C67" i="2" s="1"/>
  <c r="G24" i="2"/>
  <c r="M166" i="3"/>
  <c r="G48" i="2"/>
  <c r="R48" i="2" s="1"/>
  <c r="Q36" i="1"/>
  <c r="S36" i="1" s="1"/>
  <c r="C90" i="2"/>
  <c r="G81" i="1"/>
  <c r="C74" i="2"/>
  <c r="G78" i="2"/>
  <c r="R78" i="2" s="1"/>
  <c r="F26" i="3" s="1"/>
  <c r="G89" i="1"/>
  <c r="B89" i="2"/>
  <c r="C92" i="1"/>
  <c r="C101" i="2" s="1"/>
  <c r="AI33" i="8"/>
  <c r="F44" i="1" s="1"/>
  <c r="AI61" i="8"/>
  <c r="F76" i="1" s="1"/>
  <c r="F85" i="2" s="1"/>
  <c r="D65" i="8"/>
  <c r="U176" i="3"/>
  <c r="S176" i="3"/>
  <c r="K48" i="8"/>
  <c r="K49" i="8" s="1"/>
  <c r="AI18" i="8"/>
  <c r="F24" i="1" s="1"/>
  <c r="F30" i="2" s="1"/>
  <c r="AI41" i="8"/>
  <c r="F52" i="1" s="1"/>
  <c r="G52" i="1" s="1"/>
  <c r="AI9" i="8"/>
  <c r="F11" i="1" s="1"/>
  <c r="F11" i="2" s="1"/>
  <c r="AI10" i="8"/>
  <c r="F13" i="1" s="1"/>
  <c r="F14" i="2" s="1"/>
  <c r="AI12" i="8"/>
  <c r="F15" i="1" s="1"/>
  <c r="F21" i="2" s="1"/>
  <c r="AI32" i="8"/>
  <c r="F43" i="1" s="1"/>
  <c r="G43" i="1" s="1"/>
  <c r="AI39" i="8"/>
  <c r="F50" i="1" s="1"/>
  <c r="AI40" i="8"/>
  <c r="F51" i="1" s="1"/>
  <c r="G51" i="1" s="1"/>
  <c r="R21" i="8"/>
  <c r="AI27" i="8"/>
  <c r="F38" i="1" s="1"/>
  <c r="AI31" i="8"/>
  <c r="F42" i="1" s="1"/>
  <c r="AI44" i="8"/>
  <c r="F55" i="1" s="1"/>
  <c r="F63" i="2" s="1"/>
  <c r="N176" i="3"/>
  <c r="AG176" i="3"/>
  <c r="Z176" i="3"/>
  <c r="AD176" i="3"/>
  <c r="E76" i="8"/>
  <c r="E75" i="8" s="1"/>
  <c r="F60" i="2"/>
  <c r="O176" i="3"/>
  <c r="V176" i="3"/>
  <c r="F57" i="1"/>
  <c r="AI62" i="8"/>
  <c r="F77" i="1" s="1"/>
  <c r="F86" i="2" s="1"/>
  <c r="W176" i="3"/>
  <c r="C10" i="3"/>
  <c r="AH176" i="3"/>
  <c r="AI26" i="8"/>
  <c r="F37" i="1" s="1"/>
  <c r="F49" i="2" s="1"/>
  <c r="AI70" i="8"/>
  <c r="F90" i="1" s="1"/>
  <c r="F99" i="2" s="1"/>
  <c r="AI55" i="8"/>
  <c r="F70" i="1" s="1"/>
  <c r="F79" i="2" s="1"/>
  <c r="R176" i="3"/>
  <c r="AA176" i="3"/>
  <c r="F54" i="2"/>
  <c r="T176" i="3"/>
  <c r="X176" i="3"/>
  <c r="D10" i="3"/>
  <c r="Q176" i="3"/>
  <c r="AI8" i="8"/>
  <c r="F8" i="1" s="1"/>
  <c r="F8" i="2" s="1"/>
  <c r="AI16" i="8"/>
  <c r="F22" i="1" s="1"/>
  <c r="F28" i="2" s="1"/>
  <c r="AI52" i="8"/>
  <c r="F66" i="1" s="1"/>
  <c r="F75" i="2" s="1"/>
  <c r="AE166" i="3"/>
  <c r="AE176" i="3" s="1"/>
  <c r="R65" i="8"/>
  <c r="AI59" i="8"/>
  <c r="F74" i="1" s="1"/>
  <c r="F83" i="2" s="1"/>
  <c r="AI19" i="8"/>
  <c r="F25" i="1" s="1"/>
  <c r="F31" i="2" s="1"/>
  <c r="F46" i="1"/>
  <c r="G46" i="1" s="1"/>
  <c r="D56" i="8"/>
  <c r="P167" i="3"/>
  <c r="AI71" i="8"/>
  <c r="F91" i="1" s="1"/>
  <c r="F100" i="2" s="1"/>
  <c r="AF176" i="3"/>
  <c r="AI28" i="8"/>
  <c r="F39" i="1" s="1"/>
  <c r="C58" i="10"/>
  <c r="C57" i="10" s="1"/>
  <c r="D28" i="10"/>
  <c r="C31" i="10"/>
  <c r="I8" i="7"/>
  <c r="D8" i="1" s="1"/>
  <c r="D8" i="2" s="1"/>
  <c r="I10" i="7"/>
  <c r="D11" i="1" s="1"/>
  <c r="D11" i="2" s="1"/>
  <c r="I18" i="7"/>
  <c r="D23" i="1" s="1"/>
  <c r="D29" i="2" s="1"/>
  <c r="I20" i="7"/>
  <c r="D25" i="1" s="1"/>
  <c r="D31" i="2" s="1"/>
  <c r="I27" i="7"/>
  <c r="I45" i="7"/>
  <c r="D78" i="1" s="1"/>
  <c r="D87" i="2" s="1"/>
  <c r="I35" i="7"/>
  <c r="D67" i="1" s="1"/>
  <c r="D76" i="2" s="1"/>
  <c r="I43" i="7"/>
  <c r="D76" i="1" s="1"/>
  <c r="D85" i="2" s="1"/>
  <c r="M49" i="15"/>
  <c r="M56" i="15" s="1"/>
  <c r="M57" i="15" s="1"/>
  <c r="G25" i="7"/>
  <c r="K57" i="15"/>
  <c r="B58" i="15"/>
  <c r="G13" i="7"/>
  <c r="C30" i="15"/>
  <c r="K30" i="15"/>
  <c r="L57" i="15"/>
  <c r="D38" i="15"/>
  <c r="G41" i="7"/>
  <c r="B57" i="15"/>
  <c r="F30" i="15"/>
  <c r="F31" i="15" s="1"/>
  <c r="K31" i="15"/>
  <c r="C31" i="15"/>
  <c r="J49" i="15"/>
  <c r="J56" i="15" s="1"/>
  <c r="J57" i="15" s="1"/>
  <c r="E31" i="15"/>
  <c r="I31" i="15"/>
  <c r="M30" i="15"/>
  <c r="D58" i="15"/>
  <c r="D30" i="15"/>
  <c r="H30" i="15"/>
  <c r="H31" i="15" s="1"/>
  <c r="L30" i="15"/>
  <c r="L31" i="15" s="1"/>
  <c r="E57" i="15"/>
  <c r="I57" i="15"/>
  <c r="F57" i="15"/>
  <c r="D14" i="15"/>
  <c r="K11" i="14"/>
  <c r="F11" i="7" s="1"/>
  <c r="K14" i="14"/>
  <c r="C31" i="14"/>
  <c r="I14" i="11"/>
  <c r="D14" i="10"/>
  <c r="I13" i="7"/>
  <c r="D15" i="1" s="1"/>
  <c r="D21" i="2" s="1"/>
  <c r="D14" i="9"/>
  <c r="Q64" i="2" l="1"/>
  <c r="R64" i="2" s="1"/>
  <c r="T61" i="2"/>
  <c r="B101" i="2"/>
  <c r="AF76" i="5"/>
  <c r="AI76" i="5" s="1"/>
  <c r="M176" i="3"/>
  <c r="E61" i="1"/>
  <c r="E70" i="2" s="1"/>
  <c r="Q56" i="10"/>
  <c r="Q57" i="10" s="1"/>
  <c r="I54" i="7"/>
  <c r="D92" i="1" s="1"/>
  <c r="D101" i="2" s="1"/>
  <c r="I51" i="7"/>
  <c r="D86" i="1" s="1"/>
  <c r="D95" i="2" s="1"/>
  <c r="I33" i="7"/>
  <c r="D65" i="1" s="1"/>
  <c r="D30" i="2"/>
  <c r="G24" i="1"/>
  <c r="G30" i="2" s="1"/>
  <c r="R30" i="2" s="1"/>
  <c r="G49" i="1"/>
  <c r="Q49" i="1" s="1"/>
  <c r="S49" i="1" s="1"/>
  <c r="F57" i="2"/>
  <c r="G47" i="2"/>
  <c r="R47" i="2" s="1"/>
  <c r="Q35" i="1"/>
  <c r="S35" i="1" s="1"/>
  <c r="I42" i="7"/>
  <c r="D75" i="1" s="1"/>
  <c r="G75" i="1" s="1"/>
  <c r="Q75" i="1" s="1"/>
  <c r="S75" i="1" s="1"/>
  <c r="G47" i="1"/>
  <c r="F56" i="2"/>
  <c r="I26" i="7"/>
  <c r="D56" i="1" s="1"/>
  <c r="D65" i="2" s="1"/>
  <c r="D49" i="15"/>
  <c r="C52" i="24"/>
  <c r="J44" i="19"/>
  <c r="L43" i="19"/>
  <c r="L44" i="19" s="1"/>
  <c r="N28" i="15"/>
  <c r="D58" i="16"/>
  <c r="M70" i="20"/>
  <c r="N57" i="10"/>
  <c r="X49" i="8"/>
  <c r="Q67" i="8"/>
  <c r="J162" i="3"/>
  <c r="T71" i="20"/>
  <c r="H41" i="22"/>
  <c r="AH46" i="8" s="1"/>
  <c r="D70" i="22"/>
  <c r="W71" i="20"/>
  <c r="X71" i="20" s="1"/>
  <c r="N68" i="20"/>
  <c r="Y68" i="20" s="1"/>
  <c r="AA72" i="8" s="1"/>
  <c r="AI72" i="8" s="1"/>
  <c r="F92" i="1" s="1"/>
  <c r="F101" i="2" s="1"/>
  <c r="X43" i="19"/>
  <c r="X44" i="19" s="1"/>
  <c r="G46" i="17"/>
  <c r="G53" i="17" s="1"/>
  <c r="N30" i="10"/>
  <c r="N31" i="10" s="1"/>
  <c r="D58" i="14"/>
  <c r="K28" i="14"/>
  <c r="F28" i="7" s="1"/>
  <c r="H49" i="11"/>
  <c r="H56" i="11" s="1"/>
  <c r="H57" i="11" s="1"/>
  <c r="N72" i="20"/>
  <c r="Y72" i="20" s="1"/>
  <c r="AA76" i="8" s="1"/>
  <c r="F28" i="9"/>
  <c r="B28" i="7" s="1"/>
  <c r="D58" i="9"/>
  <c r="F58" i="9" s="1"/>
  <c r="B58" i="7" s="1"/>
  <c r="G57" i="6"/>
  <c r="G67" i="6" s="1"/>
  <c r="G68" i="6" s="1"/>
  <c r="E67" i="6"/>
  <c r="X48" i="8"/>
  <c r="V49" i="8"/>
  <c r="H69" i="6"/>
  <c r="C96" i="1" s="1"/>
  <c r="C105" i="2" s="1"/>
  <c r="M15" i="4"/>
  <c r="B63" i="1"/>
  <c r="D56" i="4"/>
  <c r="M56" i="4" s="1"/>
  <c r="B172" i="3" s="1"/>
  <c r="D172" i="3" s="1"/>
  <c r="AL172" i="3" s="1"/>
  <c r="O14" i="15"/>
  <c r="F61" i="2"/>
  <c r="AI53" i="8"/>
  <c r="F67" i="1" s="1"/>
  <c r="F76" i="2" s="1"/>
  <c r="P171" i="3"/>
  <c r="AI171" i="3" s="1"/>
  <c r="AK171" i="3" s="1"/>
  <c r="G89" i="2"/>
  <c r="R89" i="2" s="1"/>
  <c r="B14" i="3" s="1"/>
  <c r="F14" i="3" s="1"/>
  <c r="B44" i="2"/>
  <c r="N13" i="20"/>
  <c r="S64" i="5"/>
  <c r="AL67" i="5" s="1"/>
  <c r="D43" i="22"/>
  <c r="H43" i="22" s="1"/>
  <c r="AH48" i="8" s="1"/>
  <c r="AH49" i="8" s="1"/>
  <c r="H20" i="22"/>
  <c r="AH21" i="8" s="1"/>
  <c r="N61" i="20"/>
  <c r="Y61" i="20" s="1"/>
  <c r="AA65" i="8" s="1"/>
  <c r="D44" i="24"/>
  <c r="B69" i="21"/>
  <c r="E69" i="21" s="1"/>
  <c r="AB75" i="8" s="1"/>
  <c r="B69" i="22"/>
  <c r="B48" i="23"/>
  <c r="S70" i="19"/>
  <c r="J69" i="19"/>
  <c r="L62" i="19"/>
  <c r="V44" i="19"/>
  <c r="E69" i="18"/>
  <c r="E70" i="18" s="1"/>
  <c r="G62" i="18"/>
  <c r="G69" i="18" s="1"/>
  <c r="G70" i="18" s="1"/>
  <c r="AI43" i="8"/>
  <c r="F54" i="1" s="1"/>
  <c r="N52" i="20"/>
  <c r="Y52" i="20" s="1"/>
  <c r="AA56" i="8" s="1"/>
  <c r="J44" i="20"/>
  <c r="J45" i="20" s="1"/>
  <c r="G69" i="19"/>
  <c r="G70" i="19" s="1"/>
  <c r="I62" i="19"/>
  <c r="I69" i="19" s="1"/>
  <c r="I70" i="19" s="1"/>
  <c r="H31" i="17"/>
  <c r="R51" i="8" s="1"/>
  <c r="E69" i="12"/>
  <c r="G69" i="12" s="1"/>
  <c r="G70" i="12"/>
  <c r="G43" i="12"/>
  <c r="O44" i="19"/>
  <c r="K38" i="14"/>
  <c r="F38" i="7" s="1"/>
  <c r="D49" i="14"/>
  <c r="F30" i="13"/>
  <c r="C30" i="7" s="1"/>
  <c r="D49" i="11"/>
  <c r="I38" i="11"/>
  <c r="E38" i="7" s="1"/>
  <c r="N42" i="20"/>
  <c r="Y42" i="20" s="1"/>
  <c r="AA46" i="8" s="1"/>
  <c r="G54" i="17"/>
  <c r="R22" i="10"/>
  <c r="D22" i="7" s="1"/>
  <c r="B27" i="24"/>
  <c r="F28" i="13"/>
  <c r="C28" i="7" s="1"/>
  <c r="D58" i="13"/>
  <c r="AE49" i="8"/>
  <c r="H26" i="6"/>
  <c r="G28" i="17"/>
  <c r="D87" i="4"/>
  <c r="M87" i="4" s="1"/>
  <c r="B96" i="1" s="1"/>
  <c r="B105" i="2" s="1"/>
  <c r="G54" i="2"/>
  <c r="R54" i="2" s="1"/>
  <c r="G44" i="1"/>
  <c r="Q44" i="1" s="1"/>
  <c r="S44" i="1" s="1"/>
  <c r="G61" i="12"/>
  <c r="E68" i="12"/>
  <c r="G68" i="12" s="1"/>
  <c r="J58" i="10"/>
  <c r="J57" i="10" s="1"/>
  <c r="J30" i="10"/>
  <c r="J31" i="10" s="1"/>
  <c r="D31" i="13"/>
  <c r="F14" i="13"/>
  <c r="E43" i="21"/>
  <c r="AB48" i="8" s="1"/>
  <c r="B44" i="21"/>
  <c r="N22" i="15"/>
  <c r="O22" i="15" s="1"/>
  <c r="G22" i="7" s="1"/>
  <c r="I22" i="7" s="1"/>
  <c r="D27" i="1" s="1"/>
  <c r="D38" i="2" s="1"/>
  <c r="D30" i="16"/>
  <c r="N30" i="15" s="1"/>
  <c r="O30" i="15" s="1"/>
  <c r="G30" i="7" s="1"/>
  <c r="Y41" i="19"/>
  <c r="D71" i="18"/>
  <c r="H71" i="18" s="1"/>
  <c r="Y76" i="8" s="1"/>
  <c r="H41" i="18"/>
  <c r="Y46" i="8" s="1"/>
  <c r="B69" i="12"/>
  <c r="D70" i="12"/>
  <c r="I70" i="12" s="1"/>
  <c r="D76" i="8" s="1"/>
  <c r="J63" i="20"/>
  <c r="J70" i="20" s="1"/>
  <c r="H55" i="17"/>
  <c r="R76" i="8" s="1"/>
  <c r="I47" i="11"/>
  <c r="E47" i="7" s="1"/>
  <c r="K47" i="14"/>
  <c r="F47" i="7" s="1"/>
  <c r="B31" i="14"/>
  <c r="B76" i="4"/>
  <c r="D76" i="4" s="1"/>
  <c r="M76" i="4" s="1"/>
  <c r="D67" i="4"/>
  <c r="M67" i="4" s="1"/>
  <c r="B74" i="1" s="1"/>
  <c r="G74" i="1" s="1"/>
  <c r="G83" i="2" s="1"/>
  <c r="R83" i="2" s="1"/>
  <c r="N23" i="4"/>
  <c r="I41" i="7"/>
  <c r="D74" i="1" s="1"/>
  <c r="D83" i="2" s="1"/>
  <c r="I25" i="7"/>
  <c r="D11" i="3"/>
  <c r="G52" i="2"/>
  <c r="R52" i="2" s="1"/>
  <c r="G42" i="1"/>
  <c r="K176" i="3"/>
  <c r="AG67" i="8"/>
  <c r="AG74" i="8" s="1"/>
  <c r="AG75" i="8" s="1"/>
  <c r="J99" i="3"/>
  <c r="D31" i="14"/>
  <c r="E44" i="21"/>
  <c r="AB13" i="8"/>
  <c r="AB49" i="8" s="1"/>
  <c r="D44" i="20"/>
  <c r="N21" i="20"/>
  <c r="Y21" i="20" s="1"/>
  <c r="AA21" i="8" s="1"/>
  <c r="AI21" i="8" s="1"/>
  <c r="F27" i="1" s="1"/>
  <c r="F38" i="2" s="1"/>
  <c r="O47" i="15"/>
  <c r="G47" i="7" s="1"/>
  <c r="I47" i="7" s="1"/>
  <c r="D82" i="1" s="1"/>
  <c r="D91" i="2" s="1"/>
  <c r="O28" i="15"/>
  <c r="G28" i="7" s="1"/>
  <c r="S69" i="19"/>
  <c r="U62" i="19"/>
  <c r="U69" i="19" s="1"/>
  <c r="U70" i="19" s="1"/>
  <c r="I43" i="12"/>
  <c r="D48" i="8" s="1"/>
  <c r="D49" i="8" s="1"/>
  <c r="G57" i="15"/>
  <c r="D63" i="20"/>
  <c r="Q45" i="20"/>
  <c r="H28" i="17"/>
  <c r="R48" i="8" s="1"/>
  <c r="R49" i="8" s="1"/>
  <c r="N38" i="15"/>
  <c r="O38" i="15" s="1"/>
  <c r="D49" i="16"/>
  <c r="H50" i="22"/>
  <c r="AH56" i="8" s="1"/>
  <c r="AI56" i="8" s="1"/>
  <c r="F71" i="1" s="1"/>
  <c r="F80" i="2" s="1"/>
  <c r="M44" i="19"/>
  <c r="D30" i="11"/>
  <c r="I22" i="11"/>
  <c r="E22" i="7" s="1"/>
  <c r="X75" i="8"/>
  <c r="D58" i="11"/>
  <c r="I28" i="11"/>
  <c r="E28" i="7" s="1"/>
  <c r="D53" i="24"/>
  <c r="B52" i="24"/>
  <c r="D52" i="24" s="1"/>
  <c r="B31" i="13"/>
  <c r="F22" i="9"/>
  <c r="B22" i="7" s="1"/>
  <c r="D30" i="9"/>
  <c r="F30" i="9" s="1"/>
  <c r="B30" i="7" s="1"/>
  <c r="H57" i="6"/>
  <c r="C84" i="1" s="1"/>
  <c r="C93" i="2" s="1"/>
  <c r="B53" i="17"/>
  <c r="B54" i="17" s="1"/>
  <c r="D46" i="17"/>
  <c r="X67" i="8"/>
  <c r="X74" i="8" s="1"/>
  <c r="V74" i="8"/>
  <c r="V75" i="8" s="1"/>
  <c r="B27" i="1"/>
  <c r="B38" i="2" s="1"/>
  <c r="C19" i="1"/>
  <c r="D49" i="13"/>
  <c r="D51" i="4"/>
  <c r="R38" i="10"/>
  <c r="D38" i="7" s="1"/>
  <c r="D49" i="10"/>
  <c r="D56" i="9"/>
  <c r="F49" i="9"/>
  <c r="B49" i="7" s="1"/>
  <c r="B170" i="3"/>
  <c r="D170" i="3" s="1"/>
  <c r="C8" i="3"/>
  <c r="D8" i="3"/>
  <c r="B64" i="4"/>
  <c r="B65" i="1"/>
  <c r="B74" i="2" s="1"/>
  <c r="D58" i="4"/>
  <c r="M58" i="4" s="1"/>
  <c r="B167" i="3" s="1"/>
  <c r="AI10" i="5"/>
  <c r="AI64" i="5" s="1"/>
  <c r="D59" i="4"/>
  <c r="M59" i="4" s="1"/>
  <c r="B166" i="3" s="1"/>
  <c r="D166" i="3" s="1"/>
  <c r="B66" i="1"/>
  <c r="E94" i="1"/>
  <c r="E93" i="2"/>
  <c r="Y13" i="20"/>
  <c r="Q87" i="1"/>
  <c r="S87" i="1" s="1"/>
  <c r="P75" i="8"/>
  <c r="Q75" i="8" s="1"/>
  <c r="Q74" i="8"/>
  <c r="X62" i="19"/>
  <c r="V69" i="19"/>
  <c r="V70" i="19" s="1"/>
  <c r="K67" i="8"/>
  <c r="I74" i="8"/>
  <c r="G61" i="22"/>
  <c r="H61" i="22" s="1"/>
  <c r="AH67" i="8" s="1"/>
  <c r="E68" i="22"/>
  <c r="D69" i="18"/>
  <c r="AI65" i="8"/>
  <c r="F82" i="1" s="1"/>
  <c r="F91" i="2" s="1"/>
  <c r="D61" i="12"/>
  <c r="I61" i="12" s="1"/>
  <c r="D67" i="8" s="1"/>
  <c r="C69" i="12"/>
  <c r="D69" i="12" s="1"/>
  <c r="D68" i="12"/>
  <c r="I68" i="12" s="1"/>
  <c r="D74" i="8" s="1"/>
  <c r="G11" i="1"/>
  <c r="G11" i="2" s="1"/>
  <c r="T11" i="2" s="1"/>
  <c r="G68" i="1"/>
  <c r="G77" i="2" s="1"/>
  <c r="R77" i="2" s="1"/>
  <c r="F23" i="3" s="1"/>
  <c r="E176" i="3"/>
  <c r="Q64" i="1"/>
  <c r="S64" i="1" s="1"/>
  <c r="G73" i="2"/>
  <c r="R73" i="2" s="1"/>
  <c r="F25" i="3" s="1"/>
  <c r="G78" i="1"/>
  <c r="G87" i="2" s="1"/>
  <c r="R87" i="2" s="1"/>
  <c r="B12" i="3" s="1"/>
  <c r="G176" i="3"/>
  <c r="Q16" i="1"/>
  <c r="S16" i="1" s="1"/>
  <c r="G22" i="2"/>
  <c r="G55" i="1"/>
  <c r="G63" i="2" s="1"/>
  <c r="R63" i="2" s="1"/>
  <c r="G98" i="2"/>
  <c r="R98" i="2" s="1"/>
  <c r="Q89" i="1"/>
  <c r="S89" i="1" s="1"/>
  <c r="H170" i="3"/>
  <c r="J170" i="3" s="1"/>
  <c r="D37" i="2"/>
  <c r="G56" i="1"/>
  <c r="R65" i="2" s="1"/>
  <c r="G97" i="2"/>
  <c r="R97" i="2" s="1"/>
  <c r="Q88" i="1"/>
  <c r="S88" i="1" s="1"/>
  <c r="H171" i="3"/>
  <c r="J171" i="3" s="1"/>
  <c r="G90" i="2"/>
  <c r="R90" i="2" s="1"/>
  <c r="B15" i="3" s="1"/>
  <c r="F15" i="3" s="1"/>
  <c r="Q81" i="1"/>
  <c r="S81" i="1" s="1"/>
  <c r="G67" i="1"/>
  <c r="Q67" i="1" s="1"/>
  <c r="S67" i="1" s="1"/>
  <c r="G76" i="1"/>
  <c r="Q76" i="1" s="1"/>
  <c r="S76" i="1" s="1"/>
  <c r="D9" i="2"/>
  <c r="F47" i="2"/>
  <c r="F59" i="2"/>
  <c r="G70" i="1"/>
  <c r="Q70" i="1" s="1"/>
  <c r="S70" i="1" s="1"/>
  <c r="G50" i="1"/>
  <c r="Q50" i="1" s="1"/>
  <c r="S50" i="1" s="1"/>
  <c r="G14" i="1"/>
  <c r="G15" i="2" s="1"/>
  <c r="T15" i="2" s="1"/>
  <c r="G25" i="1"/>
  <c r="G31" i="2" s="1"/>
  <c r="R31" i="2" s="1"/>
  <c r="Q42" i="1"/>
  <c r="S42" i="1" s="1"/>
  <c r="G38" i="1"/>
  <c r="F50" i="2"/>
  <c r="G23" i="1"/>
  <c r="G29" i="2" s="1"/>
  <c r="R29" i="2" s="1"/>
  <c r="F52" i="2"/>
  <c r="F53" i="2"/>
  <c r="AI166" i="3"/>
  <c r="AK166" i="3" s="1"/>
  <c r="G77" i="1"/>
  <c r="G86" i="2" s="1"/>
  <c r="R86" i="2" s="1"/>
  <c r="B11" i="3" s="1"/>
  <c r="F11" i="3" s="1"/>
  <c r="F66" i="2"/>
  <c r="G57" i="1"/>
  <c r="F55" i="2"/>
  <c r="G60" i="2"/>
  <c r="R60" i="2" s="1"/>
  <c r="Q52" i="1"/>
  <c r="S52" i="1" s="1"/>
  <c r="AC176" i="3"/>
  <c r="P176" i="3"/>
  <c r="F58" i="1"/>
  <c r="F67" i="2" s="1"/>
  <c r="G56" i="2"/>
  <c r="R56" i="2" s="1"/>
  <c r="Q47" i="1"/>
  <c r="S47" i="1" s="1"/>
  <c r="Q51" i="1"/>
  <c r="S51" i="1" s="1"/>
  <c r="G59" i="2"/>
  <c r="R59" i="2" s="1"/>
  <c r="G91" i="1"/>
  <c r="G100" i="2" s="1"/>
  <c r="R100" i="2" s="1"/>
  <c r="G8" i="1"/>
  <c r="G8" i="2" s="1"/>
  <c r="R8" i="2" s="1"/>
  <c r="G39" i="1"/>
  <c r="F51" i="2"/>
  <c r="Q53" i="1"/>
  <c r="S53" i="1" s="1"/>
  <c r="G61" i="2"/>
  <c r="R61" i="2" s="1"/>
  <c r="G57" i="2"/>
  <c r="R57" i="2" s="1"/>
  <c r="D58" i="10"/>
  <c r="R28" i="10"/>
  <c r="D28" i="7" s="1"/>
  <c r="I28" i="7" s="1"/>
  <c r="D37" i="1" s="1"/>
  <c r="D30" i="10"/>
  <c r="R30" i="10" s="1"/>
  <c r="D30" i="7" s="1"/>
  <c r="D15" i="2"/>
  <c r="G22" i="1"/>
  <c r="G28" i="2" s="1"/>
  <c r="R28" i="2" s="1"/>
  <c r="G90" i="1"/>
  <c r="D74" i="2"/>
  <c r="G79" i="1"/>
  <c r="G88" i="2" s="1"/>
  <c r="R88" i="2" s="1"/>
  <c r="B13" i="3" s="1"/>
  <c r="F13" i="3" s="1"/>
  <c r="I11" i="7"/>
  <c r="D13" i="1" s="1"/>
  <c r="G13" i="1" s="1"/>
  <c r="Q13" i="1" s="1"/>
  <c r="H167" i="3"/>
  <c r="J167" i="3" s="1"/>
  <c r="D84" i="2"/>
  <c r="D49" i="2"/>
  <c r="G37" i="1"/>
  <c r="Q9" i="1"/>
  <c r="S9" i="1" s="1"/>
  <c r="Q26" i="1"/>
  <c r="S26" i="1" s="1"/>
  <c r="G37" i="2"/>
  <c r="R37" i="2" s="1"/>
  <c r="J166" i="3"/>
  <c r="Q78" i="1"/>
  <c r="S78" i="1" s="1"/>
  <c r="D31" i="15"/>
  <c r="G14" i="7"/>
  <c r="K31" i="14"/>
  <c r="F14" i="7"/>
  <c r="F31" i="7" s="1"/>
  <c r="D14" i="2"/>
  <c r="G15" i="1"/>
  <c r="G21" i="2" s="1"/>
  <c r="E14" i="7"/>
  <c r="R14" i="10"/>
  <c r="D31" i="10"/>
  <c r="F14" i="9"/>
  <c r="T37" i="2" l="1"/>
  <c r="S38" i="2"/>
  <c r="G99" i="2"/>
  <c r="R99" i="2" s="1"/>
  <c r="G99" i="1"/>
  <c r="B78" i="4"/>
  <c r="B85" i="4" s="1"/>
  <c r="B86" i="4" s="1"/>
  <c r="D86" i="4" s="1"/>
  <c r="M86" i="4" s="1"/>
  <c r="B95" i="1" s="1"/>
  <c r="B104" i="2" s="1"/>
  <c r="G86" i="1"/>
  <c r="Q86" i="1" s="1"/>
  <c r="S86" i="1" s="1"/>
  <c r="C25" i="2"/>
  <c r="AI46" i="8"/>
  <c r="J71" i="19"/>
  <c r="L71" i="19" s="1"/>
  <c r="L69" i="19"/>
  <c r="E68" i="6"/>
  <c r="H68" i="6" s="1"/>
  <c r="C95" i="1" s="1"/>
  <c r="C104" i="2" s="1"/>
  <c r="H67" i="6"/>
  <c r="C94" i="1" s="1"/>
  <c r="C103" i="2" s="1"/>
  <c r="K58" i="14"/>
  <c r="F58" i="7" s="1"/>
  <c r="D69" i="22"/>
  <c r="H70" i="22"/>
  <c r="AH76" i="8" s="1"/>
  <c r="F31" i="13"/>
  <c r="C14" i="7"/>
  <c r="C31" i="7" s="1"/>
  <c r="I49" i="11"/>
  <c r="E49" i="7" s="1"/>
  <c r="D56" i="11"/>
  <c r="I56" i="11" s="1"/>
  <c r="E56" i="7" s="1"/>
  <c r="Y167" i="3"/>
  <c r="AI51" i="8"/>
  <c r="F65" i="1" s="1"/>
  <c r="D31" i="9"/>
  <c r="Q24" i="1"/>
  <c r="S24" i="1" s="1"/>
  <c r="AL170" i="3"/>
  <c r="I69" i="12"/>
  <c r="D75" i="8" s="1"/>
  <c r="M51" i="4"/>
  <c r="D53" i="4"/>
  <c r="D54" i="4" s="1"/>
  <c r="H46" i="17"/>
  <c r="R67" i="8" s="1"/>
  <c r="D53" i="17"/>
  <c r="N49" i="15"/>
  <c r="D56" i="16"/>
  <c r="N56" i="15" s="1"/>
  <c r="N63" i="20"/>
  <c r="Y63" i="20" s="1"/>
  <c r="AA67" i="8" s="1"/>
  <c r="D70" i="20"/>
  <c r="N44" i="20"/>
  <c r="D45" i="20"/>
  <c r="B83" i="2"/>
  <c r="B82" i="1"/>
  <c r="Y71" i="19"/>
  <c r="Z76" i="8" s="1"/>
  <c r="AI76" i="8" s="1"/>
  <c r="F96" i="1" s="1"/>
  <c r="F105" i="2" s="1"/>
  <c r="Z46" i="8"/>
  <c r="Y43" i="19"/>
  <c r="Z48" i="8" s="1"/>
  <c r="D57" i="13"/>
  <c r="F57" i="13" s="1"/>
  <c r="C57" i="7" s="1"/>
  <c r="F58" i="13"/>
  <c r="C58" i="7" s="1"/>
  <c r="B72" i="2"/>
  <c r="G63" i="1"/>
  <c r="N58" i="15"/>
  <c r="O58" i="15" s="1"/>
  <c r="G58" i="7" s="1"/>
  <c r="D57" i="16"/>
  <c r="N57" i="15" s="1"/>
  <c r="C32" i="1"/>
  <c r="H34" i="6"/>
  <c r="B19" i="1"/>
  <c r="D12" i="3"/>
  <c r="D17" i="3" s="1"/>
  <c r="H62" i="18"/>
  <c r="Y67" i="8" s="1"/>
  <c r="G95" i="2"/>
  <c r="R95" i="2" s="1"/>
  <c r="F28" i="3" s="1"/>
  <c r="AL171" i="3"/>
  <c r="D56" i="13"/>
  <c r="F56" i="13" s="1"/>
  <c r="C56" i="7" s="1"/>
  <c r="F49" i="13"/>
  <c r="C49" i="7" s="1"/>
  <c r="I58" i="11"/>
  <c r="E58" i="7" s="1"/>
  <c r="D57" i="11"/>
  <c r="I57" i="11" s="1"/>
  <c r="E57" i="7" s="1"/>
  <c r="I30" i="11"/>
  <c r="D31" i="11"/>
  <c r="D56" i="14"/>
  <c r="K56" i="14" s="1"/>
  <c r="F56" i="7" s="1"/>
  <c r="K49" i="14"/>
  <c r="F49" i="7" s="1"/>
  <c r="F62" i="2"/>
  <c r="G54" i="1"/>
  <c r="D56" i="15"/>
  <c r="O49" i="15"/>
  <c r="G49" i="7" s="1"/>
  <c r="D56" i="10"/>
  <c r="R56" i="10" s="1"/>
  <c r="D56" i="7" s="1"/>
  <c r="R49" i="10"/>
  <c r="D49" i="7" s="1"/>
  <c r="F56" i="9"/>
  <c r="B56" i="7" s="1"/>
  <c r="D57" i="9"/>
  <c r="F57" i="9" s="1"/>
  <c r="B57" i="7" s="1"/>
  <c r="Q68" i="1"/>
  <c r="S68" i="1" s="1"/>
  <c r="D64" i="4"/>
  <c r="B75" i="2"/>
  <c r="B71" i="1"/>
  <c r="B80" i="2" s="1"/>
  <c r="G66" i="1"/>
  <c r="G75" i="2" s="1"/>
  <c r="R75" i="2" s="1"/>
  <c r="M64" i="4"/>
  <c r="B169" i="3" s="1"/>
  <c r="D169" i="3" s="1"/>
  <c r="D167" i="3"/>
  <c r="E103" i="2"/>
  <c r="E95" i="1"/>
  <c r="E104" i="2" s="1"/>
  <c r="Q55" i="1"/>
  <c r="S55" i="1" s="1"/>
  <c r="AA13" i="8"/>
  <c r="Q11" i="1"/>
  <c r="S11" i="1" s="1"/>
  <c r="Y62" i="19"/>
  <c r="X69" i="19"/>
  <c r="X70" i="19" s="1"/>
  <c r="K74" i="8"/>
  <c r="I75" i="8"/>
  <c r="K75" i="8" s="1"/>
  <c r="E69" i="22"/>
  <c r="G69" i="22" s="1"/>
  <c r="G68" i="22"/>
  <c r="H68" i="22" s="1"/>
  <c r="AH74" i="8" s="1"/>
  <c r="H69" i="18"/>
  <c r="Y74" i="8" s="1"/>
  <c r="D70" i="18"/>
  <c r="H70" i="18" s="1"/>
  <c r="Y75" i="8" s="1"/>
  <c r="Q25" i="1"/>
  <c r="S25" i="1" s="1"/>
  <c r="G79" i="2"/>
  <c r="R79" i="2" s="1"/>
  <c r="F27" i="3" s="1"/>
  <c r="G85" i="2"/>
  <c r="R85" i="2" s="1"/>
  <c r="B10" i="3" s="1"/>
  <c r="F10" i="3" s="1"/>
  <c r="Q79" i="1"/>
  <c r="S79" i="1" s="1"/>
  <c r="G76" i="2"/>
  <c r="R76" i="2" s="1"/>
  <c r="F24" i="3" s="1"/>
  <c r="Q56" i="1"/>
  <c r="S56" i="1" s="1"/>
  <c r="Q14" i="1"/>
  <c r="S14" i="1" s="1"/>
  <c r="Q23" i="1"/>
  <c r="S23" i="1" s="1"/>
  <c r="Q22" i="1"/>
  <c r="Q8" i="1"/>
  <c r="S8" i="1" s="1"/>
  <c r="G84" i="2"/>
  <c r="R84" i="2" s="1"/>
  <c r="B9" i="3" s="1"/>
  <c r="F9" i="3" s="1"/>
  <c r="G50" i="2"/>
  <c r="R50" i="2" s="1"/>
  <c r="Q38" i="1"/>
  <c r="S38" i="1" s="1"/>
  <c r="Q43" i="1"/>
  <c r="S43" i="1" s="1"/>
  <c r="G53" i="2"/>
  <c r="R53" i="2" s="1"/>
  <c r="Q77" i="1"/>
  <c r="S77" i="1" s="1"/>
  <c r="G92" i="1"/>
  <c r="G101" i="2" s="1"/>
  <c r="R101" i="2" s="1"/>
  <c r="Q91" i="1"/>
  <c r="S91" i="1" s="1"/>
  <c r="Q74" i="1"/>
  <c r="S74" i="1" s="1"/>
  <c r="Q90" i="1"/>
  <c r="S90" i="1" s="1"/>
  <c r="Q39" i="1"/>
  <c r="S39" i="1" s="1"/>
  <c r="G51" i="2"/>
  <c r="R51" i="2" s="1"/>
  <c r="G66" i="2"/>
  <c r="R66" i="2" s="1"/>
  <c r="T59" i="2" s="1"/>
  <c r="Q57" i="1"/>
  <c r="S57" i="1" s="1"/>
  <c r="Q46" i="1"/>
  <c r="S46" i="1" s="1"/>
  <c r="G55" i="2"/>
  <c r="R55" i="2" s="1"/>
  <c r="I58" i="7"/>
  <c r="D96" i="1" s="1"/>
  <c r="D58" i="1"/>
  <c r="D67" i="2" s="1"/>
  <c r="D57" i="10"/>
  <c r="R57" i="10" s="1"/>
  <c r="D57" i="7" s="1"/>
  <c r="R58" i="10"/>
  <c r="D58" i="7" s="1"/>
  <c r="G14" i="2"/>
  <c r="G27" i="1"/>
  <c r="G38" i="2" s="1"/>
  <c r="R38" i="2" s="1"/>
  <c r="G31" i="7"/>
  <c r="Q37" i="1"/>
  <c r="S37" i="1" s="1"/>
  <c r="G49" i="2"/>
  <c r="R49" i="2" s="1"/>
  <c r="G38" i="7"/>
  <c r="I38" i="7" s="1"/>
  <c r="D71" i="1" s="1"/>
  <c r="B8" i="3"/>
  <c r="AL166" i="3"/>
  <c r="C12" i="3"/>
  <c r="C17" i="3" s="1"/>
  <c r="Q15" i="1"/>
  <c r="S15" i="1" s="1"/>
  <c r="R31" i="10"/>
  <c r="D14" i="7"/>
  <c r="D31" i="7" s="1"/>
  <c r="S13" i="1"/>
  <c r="F31" i="9"/>
  <c r="B14" i="7"/>
  <c r="D85" i="4" l="1"/>
  <c r="M85" i="4" s="1"/>
  <c r="B94" i="1" s="1"/>
  <c r="B103" i="2" s="1"/>
  <c r="D78" i="4"/>
  <c r="I49" i="7"/>
  <c r="I56" i="7" s="1"/>
  <c r="B25" i="2"/>
  <c r="Y44" i="20"/>
  <c r="N45" i="20"/>
  <c r="O56" i="15"/>
  <c r="G56" i="7" s="1"/>
  <c r="D57" i="15"/>
  <c r="N70" i="20"/>
  <c r="Y70" i="20" s="1"/>
  <c r="AA74" i="8" s="1"/>
  <c r="D71" i="20"/>
  <c r="N71" i="20" s="1"/>
  <c r="Y71" i="20" s="1"/>
  <c r="AA75" i="8" s="1"/>
  <c r="H53" i="17"/>
  <c r="R74" i="8" s="1"/>
  <c r="D54" i="17"/>
  <c r="H54" i="17" s="1"/>
  <c r="R75" i="8" s="1"/>
  <c r="Q54" i="1"/>
  <c r="S54" i="1" s="1"/>
  <c r="G62" i="2"/>
  <c r="R62" i="2" s="1"/>
  <c r="T60" i="2" s="1"/>
  <c r="C60" i="1"/>
  <c r="H35" i="6"/>
  <c r="G72" i="2"/>
  <c r="R72" i="2" s="1"/>
  <c r="F21" i="3" s="1"/>
  <c r="Q63" i="1"/>
  <c r="S63" i="1" s="1"/>
  <c r="Z49" i="8"/>
  <c r="F74" i="2"/>
  <c r="G65" i="1"/>
  <c r="D57" i="14"/>
  <c r="K57" i="14" s="1"/>
  <c r="F57" i="7" s="1"/>
  <c r="B58" i="1"/>
  <c r="B67" i="2" s="1"/>
  <c r="M53" i="4"/>
  <c r="B91" i="2"/>
  <c r="G82" i="1"/>
  <c r="S95" i="2"/>
  <c r="H69" i="22"/>
  <c r="AH75" i="8" s="1"/>
  <c r="E30" i="7"/>
  <c r="I31" i="11"/>
  <c r="C44" i="2"/>
  <c r="G32" i="1"/>
  <c r="G44" i="2" s="1"/>
  <c r="R44" i="2" s="1"/>
  <c r="S44" i="2" s="1"/>
  <c r="S46" i="2" s="1"/>
  <c r="Y176" i="3"/>
  <c r="AI167" i="3"/>
  <c r="Q66" i="1"/>
  <c r="S66" i="1" s="1"/>
  <c r="M78" i="4"/>
  <c r="B84" i="1" s="1"/>
  <c r="B93" i="2" s="1"/>
  <c r="B176" i="3"/>
  <c r="D176" i="3"/>
  <c r="AI13" i="8"/>
  <c r="Y69" i="19"/>
  <c r="Z67" i="8"/>
  <c r="AI67" i="8" s="1"/>
  <c r="F84" i="1" s="1"/>
  <c r="F93" i="2" s="1"/>
  <c r="F30" i="3"/>
  <c r="Q27" i="1"/>
  <c r="Q19" i="1"/>
  <c r="S19" i="1" s="1"/>
  <c r="S22" i="1"/>
  <c r="S27" i="1" s="1"/>
  <c r="S92" i="1"/>
  <c r="S90" i="2"/>
  <c r="Q92" i="1"/>
  <c r="H169" i="3"/>
  <c r="D80" i="2"/>
  <c r="G71" i="1"/>
  <c r="G80" i="2" s="1"/>
  <c r="R80" i="2" s="1"/>
  <c r="F12" i="3"/>
  <c r="G96" i="1"/>
  <c r="G105" i="2" s="1"/>
  <c r="D105" i="2"/>
  <c r="B17" i="3"/>
  <c r="F8" i="3"/>
  <c r="B31" i="7"/>
  <c r="I14" i="7"/>
  <c r="D84" i="1" l="1"/>
  <c r="D93" i="2" s="1"/>
  <c r="B60" i="1"/>
  <c r="M54" i="4"/>
  <c r="Q71" i="1"/>
  <c r="AK167" i="3"/>
  <c r="AI176" i="3"/>
  <c r="Q82" i="1"/>
  <c r="S82" i="1" s="1"/>
  <c r="G91" i="2"/>
  <c r="R91" i="2" s="1"/>
  <c r="G57" i="7"/>
  <c r="O57" i="15"/>
  <c r="Q65" i="1"/>
  <c r="S65" i="1" s="1"/>
  <c r="S71" i="1" s="1"/>
  <c r="U72" i="1" s="1"/>
  <c r="G74" i="2"/>
  <c r="R74" i="2" s="1"/>
  <c r="S79" i="2" s="1"/>
  <c r="S93" i="2" s="1"/>
  <c r="S101" i="2" s="1"/>
  <c r="AA48" i="8"/>
  <c r="Y45" i="20"/>
  <c r="G58" i="1"/>
  <c r="Q58" i="1" s="1"/>
  <c r="S58" i="1" s="1"/>
  <c r="S60" i="1" s="1"/>
  <c r="S61" i="1" s="1"/>
  <c r="I30" i="7"/>
  <c r="D60" i="1" s="1"/>
  <c r="D69" i="2" s="1"/>
  <c r="E31" i="7"/>
  <c r="C69" i="2"/>
  <c r="C61" i="1"/>
  <c r="C70" i="2" s="1"/>
  <c r="F19" i="1"/>
  <c r="F94" i="1"/>
  <c r="F103" i="2" s="1"/>
  <c r="Z74" i="8"/>
  <c r="AI74" i="8" s="1"/>
  <c r="Y70" i="19"/>
  <c r="Z75" i="8" s="1"/>
  <c r="AI75" i="8" s="1"/>
  <c r="F95" i="1" s="1"/>
  <c r="F104" i="2" s="1"/>
  <c r="J169" i="3"/>
  <c r="H176" i="3"/>
  <c r="G84" i="1"/>
  <c r="G93" i="2" s="1"/>
  <c r="R93" i="2" s="1"/>
  <c r="R103" i="2" s="1"/>
  <c r="T64" i="2" s="1"/>
  <c r="D94" i="1"/>
  <c r="I57" i="7"/>
  <c r="D95" i="1" s="1"/>
  <c r="F17" i="3"/>
  <c r="F32" i="3" s="1"/>
  <c r="F36" i="3" s="1"/>
  <c r="D19" i="1"/>
  <c r="Q60" i="1" l="1"/>
  <c r="Q61" i="1" s="1"/>
  <c r="S95" i="1"/>
  <c r="G67" i="2"/>
  <c r="R67" i="2" s="1"/>
  <c r="AK176" i="3"/>
  <c r="AL167" i="3"/>
  <c r="S96" i="1"/>
  <c r="I31" i="7"/>
  <c r="AI48" i="8"/>
  <c r="AA49" i="8"/>
  <c r="B69" i="2"/>
  <c r="B61" i="1"/>
  <c r="B70" i="2" s="1"/>
  <c r="F25" i="2"/>
  <c r="D104" i="2"/>
  <c r="G95" i="1"/>
  <c r="G104" i="2" s="1"/>
  <c r="G94" i="1"/>
  <c r="G103" i="2" s="1"/>
  <c r="D103" i="2"/>
  <c r="AL169" i="3"/>
  <c r="AL176" i="3" s="1"/>
  <c r="J176" i="3"/>
  <c r="G19" i="1"/>
  <c r="D25" i="2"/>
  <c r="D61" i="1"/>
  <c r="D70" i="2" s="1"/>
  <c r="R69" i="2" l="1"/>
  <c r="S67" i="2"/>
  <c r="F60" i="1"/>
  <c r="AI49" i="8"/>
  <c r="G25" i="2"/>
  <c r="R25" i="2" s="1"/>
  <c r="T69" i="2" s="1"/>
  <c r="S69" i="2" l="1"/>
  <c r="S70" i="2" s="1"/>
  <c r="F69" i="2"/>
  <c r="F61" i="1"/>
  <c r="F70" i="2" s="1"/>
  <c r="G60" i="1"/>
  <c r="S71" i="2" l="1"/>
  <c r="G69" i="2"/>
  <c r="G61" i="1"/>
  <c r="G70" i="2" s="1"/>
  <c r="T65" i="2" l="1"/>
  <c r="U66" i="2" s="1"/>
</calcChain>
</file>

<file path=xl/comments1.xml><?xml version="1.0" encoding="utf-8"?>
<comments xmlns="http://schemas.openxmlformats.org/spreadsheetml/2006/main">
  <authors>
    <author>Terri McFadden</author>
    <author>Heather Mohnkern</author>
  </authors>
  <commentList>
    <comment ref="E66" authorId="0" shapeId="0">
      <text>
        <r>
          <rPr>
            <b/>
            <sz val="9"/>
            <color indexed="81"/>
            <rFont val="Tahoma"/>
            <charset val="1"/>
          </rPr>
          <t>Terri McFadden:</t>
        </r>
        <r>
          <rPr>
            <sz val="9"/>
            <color indexed="81"/>
            <rFont val="Tahoma"/>
            <charset val="1"/>
          </rPr>
          <t xml:space="preserve">
$435,554.00 were all intergovernmental reimbursements</t>
        </r>
      </text>
    </comment>
    <comment ref="G92" authorId="1" shapeId="0">
      <text>
        <r>
          <rPr>
            <b/>
            <sz val="9"/>
            <color indexed="81"/>
            <rFont val="Tahoma"/>
            <family val="2"/>
          </rPr>
          <t>Heather Mohnkern:</t>
        </r>
        <r>
          <rPr>
            <sz val="9"/>
            <color indexed="81"/>
            <rFont val="Tahoma"/>
            <family val="2"/>
          </rPr>
          <t xml:space="preserve">
Inmate Prison??  See other misc revenue in Gen Fund
</t>
        </r>
      </text>
    </comment>
  </commentList>
</comments>
</file>

<file path=xl/comments2.xml><?xml version="1.0" encoding="utf-8"?>
<comments xmlns="http://schemas.openxmlformats.org/spreadsheetml/2006/main">
  <authors>
    <author>Heather Mohnkern</author>
  </authors>
  <commentList>
    <comment ref="Q85" authorId="0" shapeId="0">
      <text>
        <r>
          <rPr>
            <b/>
            <sz val="9"/>
            <color indexed="81"/>
            <rFont val="Tahoma"/>
            <charset val="1"/>
          </rPr>
          <t xml:space="preserve">Heather Mohnkern:
Loss on disposal of assets part of entry #7…I had to figure it out based on ouside audit because I didn't see the split on the transaction.
</t>
        </r>
      </text>
    </comment>
    <comment ref="Q87" authorId="0" shapeId="0">
      <text>
        <r>
          <rPr>
            <b/>
            <sz val="9"/>
            <color indexed="81"/>
            <rFont val="Tahoma"/>
            <charset val="1"/>
          </rPr>
          <t>Heather Mohnkern:</t>
        </r>
        <r>
          <rPr>
            <sz val="9"/>
            <color indexed="81"/>
            <rFont val="Tahoma"/>
            <charset val="1"/>
          </rPr>
          <t xml:space="preserve">
Loss on disposal of assets part of entry #7…I had to figure it out based on ouside audit because I didn't see the split on the transaction.
</t>
        </r>
      </text>
    </comment>
  </commentList>
</comments>
</file>

<file path=xl/comments3.xml><?xml version="1.0" encoding="utf-8"?>
<comments xmlns="http://schemas.openxmlformats.org/spreadsheetml/2006/main">
  <authors>
    <author>Heather Mohnkern</author>
  </authors>
  <commentList>
    <comment ref="C33" authorId="0" shapeId="0">
      <text>
        <r>
          <rPr>
            <b/>
            <sz val="9"/>
            <color indexed="81"/>
            <rFont val="Tahoma"/>
            <charset val="1"/>
          </rPr>
          <t>Heather Mohnkern:</t>
        </r>
        <r>
          <rPr>
            <sz val="9"/>
            <color indexed="81"/>
            <rFont val="Tahoma"/>
            <charset val="1"/>
          </rPr>
          <t xml:space="preserve">
VCEDA Monies
</t>
        </r>
      </text>
    </comment>
    <comment ref="C63" authorId="0" shapeId="0">
      <text>
        <r>
          <rPr>
            <b/>
            <sz val="9"/>
            <color indexed="81"/>
            <rFont val="Tahoma"/>
            <charset val="1"/>
          </rPr>
          <t>Heather Mohnkern:</t>
        </r>
        <r>
          <rPr>
            <sz val="9"/>
            <color indexed="81"/>
            <rFont val="Tahoma"/>
            <charset val="1"/>
          </rPr>
          <t xml:space="preserve">
Plug figure to make Interfunds equal.  Sometimes entries get made that don't balance the interfunds out.  Talked to Diona about this 10/7</t>
        </r>
      </text>
    </comment>
    <comment ref="C67" authorId="0" shapeId="0">
      <text>
        <r>
          <rPr>
            <b/>
            <sz val="9"/>
            <color indexed="81"/>
            <rFont val="Tahoma"/>
            <charset val="1"/>
          </rPr>
          <t>Heather Mohnkern:</t>
        </r>
        <r>
          <rPr>
            <sz val="9"/>
            <color indexed="81"/>
            <rFont val="Tahoma"/>
            <charset val="1"/>
          </rPr>
          <t xml:space="preserve">
I plugged this just to take care of all the rounding and misc issues.
</t>
        </r>
      </text>
    </comment>
    <comment ref="C82" authorId="0" shapeId="0">
      <text>
        <r>
          <rPr>
            <b/>
            <sz val="9"/>
            <color indexed="81"/>
            <rFont val="Tahoma"/>
            <charset val="1"/>
          </rPr>
          <t>Heather Mohnkern:</t>
        </r>
        <r>
          <rPr>
            <sz val="9"/>
            <color indexed="81"/>
            <rFont val="Tahoma"/>
            <charset val="1"/>
          </rPr>
          <t xml:space="preserve">
Plug figure to make Interfunds equal.  Sometimes entries get made that don't balance the interfunds out.  Talked to Diona about this 10/7
</t>
        </r>
      </text>
    </comment>
  </commentList>
</comments>
</file>

<file path=xl/sharedStrings.xml><?xml version="1.0" encoding="utf-8"?>
<sst xmlns="http://schemas.openxmlformats.org/spreadsheetml/2006/main" count="1722" uniqueCount="512">
  <si>
    <t>Transportation Fund</t>
  </si>
  <si>
    <t>Combining Balance sheet and Statement of Revenue &amp; Expenses</t>
  </si>
  <si>
    <t>Assets</t>
  </si>
  <si>
    <t>Cash &amp; cash equivalents</t>
  </si>
  <si>
    <t>A/R</t>
  </si>
  <si>
    <t>Due from Other Governments</t>
  </si>
  <si>
    <t>Due from Other  Funds</t>
  </si>
  <si>
    <t>Total Assets</t>
  </si>
  <si>
    <t>Liabilities</t>
  </si>
  <si>
    <t>A/P</t>
  </si>
  <si>
    <t>Accrued Payroll</t>
  </si>
  <si>
    <t>Due to Other Governments</t>
  </si>
  <si>
    <t>Deferred  Revenue</t>
  </si>
  <si>
    <t>Total Liabilities</t>
  </si>
  <si>
    <t>Fund Balance</t>
  </si>
  <si>
    <t>Reserved:  Program</t>
  </si>
  <si>
    <t>Reserved:  Prepaids</t>
  </si>
  <si>
    <t>Unreserved</t>
  </si>
  <si>
    <t>Total Fund Balance</t>
  </si>
  <si>
    <t>Total Liabilities &amp; Fund Balance</t>
  </si>
  <si>
    <t>Revenue</t>
  </si>
  <si>
    <t>Intergovermental</t>
  </si>
  <si>
    <t>Charges for Services</t>
  </si>
  <si>
    <t>Interest</t>
  </si>
  <si>
    <t>Other</t>
  </si>
  <si>
    <t>Total Revenues</t>
  </si>
  <si>
    <t>Expenditures</t>
  </si>
  <si>
    <t>General gvt - administration</t>
  </si>
  <si>
    <t>General gvt - judicial</t>
  </si>
  <si>
    <t>Public safety</t>
  </si>
  <si>
    <t>Public works and enterprises</t>
  </si>
  <si>
    <t>Human services</t>
  </si>
  <si>
    <t>Total Expenditures</t>
  </si>
  <si>
    <t>Excess (Deficiency)</t>
  </si>
  <si>
    <t>Transfers In</t>
  </si>
  <si>
    <t>Transfers Out</t>
  </si>
  <si>
    <t>Total Other</t>
  </si>
  <si>
    <t>Net Change in Fund Balance</t>
  </si>
  <si>
    <t>Fund Balance - Beginning</t>
  </si>
  <si>
    <t>Fund Balance - End of Year</t>
  </si>
  <si>
    <t>Shared Ride
1810</t>
  </si>
  <si>
    <t>MATP
1820</t>
  </si>
  <si>
    <t>Fixed Route
1840</t>
  </si>
  <si>
    <t>Trans. Rural 
1830</t>
  </si>
  <si>
    <t>Capital Transit
7580</t>
  </si>
  <si>
    <t>Rural Operat.
7581</t>
  </si>
  <si>
    <t>Act 26 Shared
7582</t>
  </si>
  <si>
    <t>ADJ</t>
  </si>
  <si>
    <t>Adjusted
MATP</t>
  </si>
  <si>
    <t>Adjusted
Shared Ride</t>
  </si>
  <si>
    <t>Adjusted
Fixed Route</t>
  </si>
  <si>
    <t>Adjusted
Trans Rural</t>
  </si>
  <si>
    <t>Total All Adjusted
S.Ride/MATP/F.Route/Trans</t>
  </si>
  <si>
    <t>Other Governmental Funds</t>
  </si>
  <si>
    <t>Liquid Fuels
2000</t>
  </si>
  <si>
    <t>Affordable Housing
2020</t>
  </si>
  <si>
    <t>Airport Funds</t>
  </si>
  <si>
    <t>Airport
2050</t>
  </si>
  <si>
    <t>Airport Project
2100</t>
  </si>
  <si>
    <t>Wings Over
Venango
2150</t>
  </si>
  <si>
    <t>TOTAL
AIRPORT</t>
  </si>
  <si>
    <t>Prepaids</t>
  </si>
  <si>
    <t>Conservation and Development</t>
  </si>
  <si>
    <t>Conservation and development</t>
  </si>
  <si>
    <t>Hazmat
2200</t>
  </si>
  <si>
    <t>911
2252/2250</t>
  </si>
  <si>
    <t>911
2250</t>
  </si>
  <si>
    <t>911 Wireless
2252</t>
  </si>
  <si>
    <t>Court Constable
2400</t>
  </si>
  <si>
    <t>Offender ID
2450</t>
  </si>
  <si>
    <t>Juevenile Court
2460</t>
  </si>
  <si>
    <t>County Records
2750</t>
  </si>
  <si>
    <t>Prothonotary
2760</t>
  </si>
  <si>
    <t>TOTALS</t>
  </si>
  <si>
    <t>CDBG
1720/2579</t>
  </si>
  <si>
    <t>CSBG
1710</t>
  </si>
  <si>
    <t>OEO-SWP
1730</t>
  </si>
  <si>
    <t>OEO Weather
1900/1910/1920</t>
  </si>
  <si>
    <t>OEO-Other
1740-1790</t>
  </si>
  <si>
    <t>Special 
Purpose
7100/7150/
7540</t>
  </si>
  <si>
    <t xml:space="preserve">Tax Claim
7600
</t>
  </si>
  <si>
    <t>Adoption
7250</t>
  </si>
  <si>
    <t>Domestic
Relations
7700</t>
  </si>
  <si>
    <t>TOTAL</t>
  </si>
  <si>
    <t>TOTAL OTHER GVT</t>
  </si>
  <si>
    <t>CDBG
1720</t>
  </si>
  <si>
    <t>CDBG
2579</t>
  </si>
  <si>
    <t>Adjusted CDBG</t>
  </si>
  <si>
    <t>CDBG</t>
  </si>
  <si>
    <t>911</t>
  </si>
  <si>
    <t>Adjusted 911Wireless</t>
  </si>
  <si>
    <t>Adjusted CSBG</t>
  </si>
  <si>
    <t>Adjusted 
OEO-SWP</t>
  </si>
  <si>
    <t>OEO-Weatherization</t>
  </si>
  <si>
    <t>Weather DOE
1910</t>
  </si>
  <si>
    <t>Adjusted Weather</t>
  </si>
  <si>
    <t>Weather LIHEAP
1920</t>
  </si>
  <si>
    <t>OEO - HSDF
1740</t>
  </si>
  <si>
    <t>Adjusted OEO</t>
  </si>
  <si>
    <t>OEO-DPW
1750</t>
  </si>
  <si>
    <t>OEO - State
1760</t>
  </si>
  <si>
    <t>OEO-FEMA
1780</t>
  </si>
  <si>
    <t>OEO-CAPS
1790</t>
  </si>
  <si>
    <t>TOTAL
OEO Other</t>
  </si>
  <si>
    <t>OEO-Other</t>
  </si>
  <si>
    <t>Special Purpose</t>
  </si>
  <si>
    <t>Lindquist
7100</t>
  </si>
  <si>
    <t>IRA Hazlett
7150</t>
  </si>
  <si>
    <t>MH/MR
7540</t>
  </si>
  <si>
    <t>TOTAL
Special Purpose</t>
  </si>
  <si>
    <t>General Fund</t>
  </si>
  <si>
    <t>Org</t>
  </si>
  <si>
    <t>Income</t>
  </si>
  <si>
    <t>Licenses</t>
  </si>
  <si>
    <t>Intergvt</t>
  </si>
  <si>
    <t>Charges for 
Services</t>
  </si>
  <si>
    <t>Fines &amp;
Forfeits</t>
  </si>
  <si>
    <t>Lease Revenue</t>
  </si>
  <si>
    <t>Total Revenue</t>
  </si>
  <si>
    <t>Expenses</t>
  </si>
  <si>
    <t>General Admin</t>
  </si>
  <si>
    <t>General Judicial</t>
  </si>
  <si>
    <t>Public Safety</t>
  </si>
  <si>
    <t>Public Works</t>
  </si>
  <si>
    <t>Conservation &amp; Development</t>
  </si>
  <si>
    <t>Capital 
Projects</t>
  </si>
  <si>
    <t>Debt
Service</t>
  </si>
  <si>
    <t>Total Expenses</t>
  </si>
  <si>
    <t>Excess/
Deficiency</t>
  </si>
  <si>
    <t>Interfund In</t>
  </si>
  <si>
    <t>Interfund Out</t>
  </si>
  <si>
    <t>YEA Government</t>
  </si>
  <si>
    <t>General Government</t>
  </si>
  <si>
    <t>Fiscal</t>
  </si>
  <si>
    <t>Tax Claim</t>
  </si>
  <si>
    <t xml:space="preserve">Assessment </t>
  </si>
  <si>
    <t>Telephone</t>
  </si>
  <si>
    <t>MIS</t>
  </si>
  <si>
    <t>Maintenance</t>
  </si>
  <si>
    <t>Courthouse</t>
  </si>
  <si>
    <t>Annex</t>
  </si>
  <si>
    <t>Exchange Building</t>
  </si>
  <si>
    <t>Custodial</t>
  </si>
  <si>
    <t>Fleet Mgmt</t>
  </si>
  <si>
    <t>YEA - Judicial</t>
  </si>
  <si>
    <t>YEA - Public Safety</t>
  </si>
  <si>
    <t>YEA - Public Works</t>
  </si>
  <si>
    <t>YEA - Human Services</t>
  </si>
  <si>
    <t>YEA - Conservvation</t>
  </si>
  <si>
    <t>Debt Service</t>
  </si>
  <si>
    <t>Courts</t>
  </si>
  <si>
    <t>Domestic Relations</t>
  </si>
  <si>
    <t>Law Library</t>
  </si>
  <si>
    <t>FISH - DJ</t>
  </si>
  <si>
    <t>Dinberg - DJ</t>
  </si>
  <si>
    <t>Court Supervision</t>
  </si>
  <si>
    <t>Juevenile Court</t>
  </si>
  <si>
    <t>Prison</t>
  </si>
  <si>
    <t xml:space="preserve">EMA   </t>
  </si>
  <si>
    <t>EMA - 911 Building</t>
  </si>
  <si>
    <t>911 General</t>
  </si>
  <si>
    <t>Airport</t>
  </si>
  <si>
    <t>Human Services</t>
  </si>
  <si>
    <t>Veterans</t>
  </si>
  <si>
    <t>Tax Collectors</t>
  </si>
  <si>
    <t>Treasurer</t>
  </si>
  <si>
    <t>Auditors</t>
  </si>
  <si>
    <t>Jury Commissioners</t>
  </si>
  <si>
    <t>Register &amp; Recorder</t>
  </si>
  <si>
    <t>Coroner</t>
  </si>
  <si>
    <t>District Attorney</t>
  </si>
  <si>
    <t>Prothonotary</t>
  </si>
  <si>
    <t>Sheriff</t>
  </si>
  <si>
    <t>Commissioners</t>
  </si>
  <si>
    <t>Voter Registration</t>
  </si>
  <si>
    <t>Public Defender</t>
  </si>
  <si>
    <t>Human Resources</t>
  </si>
  <si>
    <t>Planning</t>
  </si>
  <si>
    <t>Community Development</t>
  </si>
  <si>
    <t>Insurance</t>
  </si>
  <si>
    <t>Employee Benefits</t>
  </si>
  <si>
    <t>Adjusted
Capital Transit</t>
  </si>
  <si>
    <t>Adjusted
Rural Operating</t>
  </si>
  <si>
    <t>Adjusted
Act 26 Shared</t>
  </si>
  <si>
    <t>Eliminations</t>
  </si>
  <si>
    <t>Adjusted Domestic Relations</t>
  </si>
  <si>
    <t>ALL GOVERNMENT FUNDS</t>
  </si>
  <si>
    <t>Other Governmental
 Funds</t>
  </si>
  <si>
    <t>TOTAL GOVT 
FUNDS</t>
  </si>
  <si>
    <t>Advances Receivable</t>
  </si>
  <si>
    <t>Due to Other Funds</t>
  </si>
  <si>
    <t>General 
Fund</t>
  </si>
  <si>
    <t>Human Services
 Fund</t>
  </si>
  <si>
    <t>TOTAL
911</t>
  </si>
  <si>
    <t>Lease Receivable</t>
  </si>
  <si>
    <t xml:space="preserve">       Current</t>
  </si>
  <si>
    <t xml:space="preserve">       Non-Current</t>
  </si>
  <si>
    <t># 7</t>
  </si>
  <si>
    <t># 8</t>
  </si>
  <si>
    <t xml:space="preserve">      Taxes</t>
  </si>
  <si>
    <t xml:space="preserve">      Licenses</t>
  </si>
  <si>
    <t>Fines and Forfeits</t>
  </si>
  <si>
    <t>Capital Projects</t>
  </si>
  <si>
    <t>General Fund &amp; Operating Reserve</t>
  </si>
  <si>
    <t>General Fund
1000</t>
  </si>
  <si>
    <t>Operating Reserve
1100</t>
  </si>
  <si>
    <t>Adjusted General Fund</t>
  </si>
  <si>
    <t>Total General Fund</t>
  </si>
  <si>
    <t>Franklin Tax Collector 7210</t>
  </si>
  <si>
    <t>Oil City Tax Collector 7211</t>
  </si>
  <si>
    <t>Other Tax Collectors 7212</t>
  </si>
  <si>
    <t>Franklin Per Capita 7213</t>
  </si>
  <si>
    <t>Real Estate</t>
  </si>
  <si>
    <t>Per Capita</t>
  </si>
  <si>
    <t>Hotel Room</t>
  </si>
  <si>
    <t>Check</t>
  </si>
  <si>
    <t>Occupational</t>
  </si>
  <si>
    <t>Sales</t>
  </si>
  <si>
    <t>Public Utility Realty Tax</t>
  </si>
  <si>
    <t>Capital Projects Fund</t>
  </si>
  <si>
    <t>Capital Projects 3000</t>
  </si>
  <si>
    <t>Debt Service 4000</t>
  </si>
  <si>
    <t>Debt Service 4100</t>
  </si>
  <si>
    <t>TOTAL
Capital Projects</t>
  </si>
  <si>
    <t>Airport 
2100/2150/
2050</t>
  </si>
  <si>
    <t>YEA - Culture &amp; Recreation</t>
  </si>
  <si>
    <t>YEA - Other Miscellaneous</t>
  </si>
  <si>
    <t>Park</t>
  </si>
  <si>
    <t>Culture &amp; Recreation</t>
  </si>
  <si>
    <t xml:space="preserve"> </t>
  </si>
  <si>
    <t>Adj Court Constable</t>
  </si>
  <si>
    <t>Adj Prothonotary</t>
  </si>
  <si>
    <t>Taxes Receivable</t>
  </si>
  <si>
    <t>Adj for Court Constable</t>
  </si>
  <si>
    <t>Adjustments to Prothonotary</t>
  </si>
  <si>
    <t>Adjustments for Airport 2050</t>
  </si>
  <si>
    <t>Adjusted Balances for Airport 2050</t>
  </si>
  <si>
    <t>Adjustments for Airport 2100</t>
  </si>
  <si>
    <t>TOTAL CDBG</t>
  </si>
  <si>
    <t>Fines &amp; Forfeits</t>
  </si>
  <si>
    <t>check categories</t>
  </si>
  <si>
    <t>Capital Projects 
Fund (3000/4000/4100)</t>
  </si>
  <si>
    <t>1770-OEO-USDA</t>
  </si>
  <si>
    <t>Transportation 1810/1820/1830/1840/7580 &amp; 7581/7582</t>
  </si>
  <si>
    <t>Culture &amp; Recreatiion</t>
  </si>
  <si>
    <t>Total 
Human Services</t>
  </si>
  <si>
    <t>Human Services 1150</t>
  </si>
  <si>
    <t>Mental Retardation
Funds</t>
  </si>
  <si>
    <t>Mental Health
Funds</t>
  </si>
  <si>
    <t>Substance Abuse
Funds</t>
  </si>
  <si>
    <t>CYS Funds</t>
  </si>
  <si>
    <t>RSVP Funds</t>
  </si>
  <si>
    <t>AAA Funds</t>
  </si>
  <si>
    <t>Human Services Funds</t>
  </si>
  <si>
    <t>TOTAL
RSVP</t>
  </si>
  <si>
    <t>RSVP
7515</t>
  </si>
  <si>
    <t>RSVP
1180</t>
  </si>
  <si>
    <t>TOTAL
CYS</t>
  </si>
  <si>
    <t>Adjusted
Early Head Start</t>
  </si>
  <si>
    <t>Early Head Start 
7522</t>
  </si>
  <si>
    <t>Adjusted
Family Services</t>
  </si>
  <si>
    <t>Family Services 7521</t>
  </si>
  <si>
    <t>CYS Restricted 7520</t>
  </si>
  <si>
    <t>Adjusted
Regional Training</t>
  </si>
  <si>
    <t>Regional Training 1240</t>
  </si>
  <si>
    <t>Adjusted
Crisis</t>
  </si>
  <si>
    <t>Crisis
1230</t>
  </si>
  <si>
    <t>Adjusted
CYS</t>
  </si>
  <si>
    <t>CYS
1200</t>
  </si>
  <si>
    <t>TOTAL
Substance Abuse</t>
  </si>
  <si>
    <t>Adjusted
Tobacco</t>
  </si>
  <si>
    <t>Tobacco
1340</t>
  </si>
  <si>
    <t>DUI
1320</t>
  </si>
  <si>
    <t>Adjusted
SA</t>
  </si>
  <si>
    <t>Substance Abuse
1300</t>
  </si>
  <si>
    <t>Substance Abuse Funds</t>
  </si>
  <si>
    <t>TOTAL
AAA</t>
  </si>
  <si>
    <t>AAA
7510</t>
  </si>
  <si>
    <t>Adjusted
AAA</t>
  </si>
  <si>
    <t>AAA
1160</t>
  </si>
  <si>
    <t>Adjusted Human Services</t>
  </si>
  <si>
    <t>1150 Human Service</t>
  </si>
  <si>
    <t>TOTAL
Mental Health</t>
  </si>
  <si>
    <t>Adjusted
Health Choices</t>
  </si>
  <si>
    <t>Health Choices
1450</t>
  </si>
  <si>
    <t>Adjusted
Mental Health</t>
  </si>
  <si>
    <t>Mental Health
1400</t>
  </si>
  <si>
    <t>Mental Health Funds</t>
  </si>
  <si>
    <t>Adjusted
Early Intervention</t>
  </si>
  <si>
    <t>Early Intervention
1650</t>
  </si>
  <si>
    <t>Adjusted
M/R Waiver</t>
  </si>
  <si>
    <t>M/R Waiver
1600</t>
  </si>
  <si>
    <t>Adjusted
Waiver Ineligible</t>
  </si>
  <si>
    <t>Waiver Ineligible
1550</t>
  </si>
  <si>
    <t>2010 Debt
Service
4300</t>
  </si>
  <si>
    <t>Prison
Commissary
7410</t>
  </si>
  <si>
    <t>PARK
MANAGEMENT2300</t>
  </si>
  <si>
    <t>Due to other Funds</t>
  </si>
  <si>
    <t>Human Services Complex</t>
  </si>
  <si>
    <t>Proceeds from Sale of Fixed Assets</t>
  </si>
  <si>
    <t>Sale of Fixed Assets</t>
  </si>
  <si>
    <t>Adjusted
RSVP 1180</t>
  </si>
  <si>
    <t>Developmental Services Funds</t>
  </si>
  <si>
    <t>Development Services
1500</t>
  </si>
  <si>
    <t>Adjusted
Developmental Services</t>
  </si>
  <si>
    <t>TOTAL
Developmental Services</t>
  </si>
  <si>
    <t>Org#</t>
  </si>
  <si>
    <t>Lease Revenue/Rent</t>
  </si>
  <si>
    <t>Adjusted 911 2250</t>
  </si>
  <si>
    <t>Adjustments</t>
  </si>
  <si>
    <t>Adjusted 2010 Debt Service 4300</t>
  </si>
  <si>
    <t xml:space="preserve">  </t>
  </si>
  <si>
    <t>Developmental</t>
  </si>
  <si>
    <t>Services</t>
  </si>
  <si>
    <t>Planning/ Marcellus
2790</t>
  </si>
  <si>
    <t>OEO-Disabilities
1755</t>
  </si>
  <si>
    <t>TAXES</t>
  </si>
  <si>
    <t>Pension/Retirement</t>
  </si>
  <si>
    <t>Pension
7000</t>
  </si>
  <si>
    <t>Gvt &amp; Agency Securities</t>
  </si>
  <si>
    <t>Municipal Bonds</t>
  </si>
  <si>
    <t>Corporate Bonds</t>
  </si>
  <si>
    <t>Corporate Stock - Common</t>
  </si>
  <si>
    <t>Unrealized Gain/Loss</t>
  </si>
  <si>
    <t>Investment Expense</t>
  </si>
  <si>
    <t>County Pension Contributions</t>
  </si>
  <si>
    <t>Employee Pension Contributions</t>
  </si>
  <si>
    <t xml:space="preserve"> Pension Benefits and Refunds</t>
  </si>
  <si>
    <t>Consultants - Administrative</t>
  </si>
  <si>
    <t>Realized Gain/Loss</t>
  </si>
  <si>
    <t>TOTAL Pension</t>
  </si>
  <si>
    <t xml:space="preserve">  RESTRICTED</t>
  </si>
  <si>
    <t>Operating Reserve</t>
  </si>
  <si>
    <t>Roads and bridges</t>
  </si>
  <si>
    <t>Affordable housing</t>
  </si>
  <si>
    <t>Act 13</t>
  </si>
  <si>
    <t>Constable server fees</t>
  </si>
  <si>
    <t>Offender identification</t>
  </si>
  <si>
    <t>Records improvement/automation</t>
  </si>
  <si>
    <t>Sugar Valley Lodge</t>
  </si>
  <si>
    <t>Other Purposes</t>
  </si>
  <si>
    <t>ASSIGNED</t>
  </si>
  <si>
    <t xml:space="preserve"> Capital Projects</t>
  </si>
  <si>
    <t>Substance Abuse</t>
  </si>
  <si>
    <t>Airport Operations</t>
  </si>
  <si>
    <t>Community Action</t>
  </si>
  <si>
    <t xml:space="preserve"> UNASSIGNED</t>
  </si>
  <si>
    <t>Deferred Inflows of Resources:</t>
  </si>
  <si>
    <r>
      <t xml:space="preserve">    </t>
    </r>
    <r>
      <rPr>
        <sz val="11"/>
        <color indexed="8"/>
        <rFont val="Calibri"/>
        <family val="2"/>
      </rPr>
      <t>Unavailable revenue - taxes/fees</t>
    </r>
  </si>
  <si>
    <r>
      <t xml:space="preserve">    </t>
    </r>
    <r>
      <rPr>
        <sz val="11"/>
        <color indexed="8"/>
        <rFont val="Calibri"/>
        <family val="2"/>
      </rPr>
      <t>Unavailable revenue - lease</t>
    </r>
  </si>
  <si>
    <t>Total Deferred Inflows of Resources</t>
  </si>
  <si>
    <t>Debt Service &amp; Capital Outlay</t>
  </si>
  <si>
    <t xml:space="preserve">    Unavailable revenue - taxes/fees</t>
  </si>
  <si>
    <t xml:space="preserve">    Unavailable revenue - lease</t>
  </si>
  <si>
    <t>Total Deferred Inflows</t>
  </si>
  <si>
    <t xml:space="preserve">      Unavailable revenue - taxes/fees</t>
  </si>
  <si>
    <t>TAX REVENUE</t>
  </si>
  <si>
    <t>2590
Workforce
Development</t>
  </si>
  <si>
    <t>Lease Receivable/Other</t>
  </si>
  <si>
    <t>Equity in Pooled Cash</t>
  </si>
  <si>
    <t>Sep Bank</t>
  </si>
  <si>
    <t>Roads and Bridges</t>
  </si>
  <si>
    <t>Records improvement</t>
  </si>
  <si>
    <t>Domestic relations</t>
  </si>
  <si>
    <t>Other purposes</t>
  </si>
  <si>
    <t>Assigned:</t>
  </si>
  <si>
    <t>Substance abuse</t>
  </si>
  <si>
    <t>Airport operations</t>
  </si>
  <si>
    <t>Community action</t>
  </si>
  <si>
    <t>Operating reserve</t>
  </si>
  <si>
    <t>Restricted:</t>
  </si>
  <si>
    <t>Capital projects</t>
  </si>
  <si>
    <t>Unassigned</t>
  </si>
  <si>
    <t>Other Assets</t>
  </si>
  <si>
    <t>Premium on refunding bonds</t>
  </si>
  <si>
    <t xml:space="preserve">Payment to refunded bond escrow </t>
  </si>
  <si>
    <t>Revenue &amp; Expenses</t>
  </si>
  <si>
    <t>7000
PENSION</t>
  </si>
  <si>
    <t>OTHER NOT REPORTED AS ALL GOVERNMENT FUNDS</t>
  </si>
  <si>
    <t>7200
Various Agency Trusts</t>
  </si>
  <si>
    <t>7300
Sheriff</t>
  </si>
  <si>
    <t>7400
Prison -Inmate Escrow</t>
  </si>
  <si>
    <t>7410
Prison Commissary</t>
  </si>
  <si>
    <t>8000
Fixed Assets</t>
  </si>
  <si>
    <t>Subtotal of
These Others</t>
  </si>
  <si>
    <t>TOTAL
COUNTY FUNDS</t>
  </si>
  <si>
    <t>OEO
1700</t>
  </si>
  <si>
    <t>0000
Pooled Cash</t>
  </si>
  <si>
    <t>TIES TO TRIAL BALANCE</t>
  </si>
  <si>
    <t>ties to Major Fund Determination</t>
  </si>
  <si>
    <t>INTERGOVERNMENTAL</t>
  </si>
  <si>
    <t>&amp; PUBLIC UTILITY TAX</t>
  </si>
  <si>
    <t>OTHER &amp; RENT</t>
  </si>
  <si>
    <t>PROCEEDS FROM</t>
  </si>
  <si>
    <t>Unearned  Revenue</t>
  </si>
  <si>
    <t xml:space="preserve">      Unavailable revenue - note</t>
  </si>
  <si>
    <t>Proceeds from capital leases</t>
  </si>
  <si>
    <t>Sugar Valley Buildings</t>
  </si>
  <si>
    <t>Lowrey - DJ</t>
  </si>
  <si>
    <t xml:space="preserve"> Kirtland - DJ</t>
  </si>
  <si>
    <t>Register 
and 
Recorder
2770</t>
  </si>
  <si>
    <t>ties out to Major Fund Determination</t>
  </si>
  <si>
    <t>ties out to Major Fund Determination if you add Sales of Fixed Assets</t>
  </si>
  <si>
    <t>Balance Sheet</t>
  </si>
  <si>
    <t>P &amp; L</t>
  </si>
  <si>
    <t>2360         Economic Development</t>
  </si>
  <si>
    <t>Due from Component Unit</t>
  </si>
  <si>
    <t>#1 Lease Receivable</t>
  </si>
  <si>
    <t>#2 Compensated Absences</t>
  </si>
  <si>
    <t>#3 Clerk of Courts</t>
  </si>
  <si>
    <t>#4 Debt</t>
  </si>
  <si>
    <t>#5 Taxes Receivable</t>
  </si>
  <si>
    <t>#6 In-Kind EHS</t>
  </si>
  <si>
    <t>#7 Capital Assets</t>
  </si>
  <si>
    <t>#8 Capital Lease</t>
  </si>
  <si>
    <t>#9 Net Pension Asset</t>
  </si>
  <si>
    <t>Adjusted Amounts</t>
  </si>
  <si>
    <t>Compensated Absences</t>
  </si>
  <si>
    <t>Capital Lease - Current</t>
  </si>
  <si>
    <t>Capital Lease - Long Term</t>
  </si>
  <si>
    <t>Bonds Payable - Current</t>
  </si>
  <si>
    <t>Bonds Payable - Long Term</t>
  </si>
  <si>
    <t>Net Pension Asset</t>
  </si>
  <si>
    <t>Beg. Year Non-Dep. Capital Assets</t>
  </si>
  <si>
    <t>Depreciable Capital Assets</t>
  </si>
  <si>
    <t>A/D</t>
  </si>
  <si>
    <t>Net Investment in Capital Assets</t>
  </si>
  <si>
    <t>Deferred Outflows Pension</t>
  </si>
  <si>
    <t>Deferred Inflow Pension</t>
  </si>
  <si>
    <t>yellow=new line items since back statements for front only</t>
  </si>
  <si>
    <t>Add Assigned Funds</t>
  </si>
  <si>
    <t>Remove Capital Assets See Calculation</t>
  </si>
  <si>
    <t>Adjust for Excess/Loss on Back Stmts.</t>
  </si>
  <si>
    <t>Capital Assets - Net Deprec.</t>
  </si>
  <si>
    <t>Capital Assets - Deprec/A/D</t>
  </si>
  <si>
    <t>Captial Lease - Current Liability</t>
  </si>
  <si>
    <t>Capital Lease - Noncurrent</t>
  </si>
  <si>
    <t>Bonds Payable Current</t>
  </si>
  <si>
    <t>Bonds Payable Noncurrent</t>
  </si>
  <si>
    <t>Remove Net Pension Asset</t>
  </si>
  <si>
    <t>Capital Assets:</t>
  </si>
  <si>
    <t>Pension</t>
  </si>
  <si>
    <t>Differencer in Cap Assets</t>
  </si>
  <si>
    <t>Check and Balance to Total Assets</t>
  </si>
  <si>
    <t>Statement of Activities</t>
  </si>
  <si>
    <t xml:space="preserve">Year Ended </t>
  </si>
  <si>
    <t>Functions/Programs</t>
  </si>
  <si>
    <t>Primary Government</t>
  </si>
  <si>
    <t>Government Activities:</t>
  </si>
  <si>
    <t>General government - administration</t>
  </si>
  <si>
    <t>General government - judicial</t>
  </si>
  <si>
    <t>Public works</t>
  </si>
  <si>
    <t>Culture and recreation</t>
  </si>
  <si>
    <t>Total governmental activities</t>
  </si>
  <si>
    <t>Charges for
Services</t>
  </si>
  <si>
    <t>Operating Grants
and Contributions</t>
  </si>
  <si>
    <t>Captial
Grants</t>
  </si>
  <si>
    <t>Governmental
Activities</t>
  </si>
  <si>
    <t>Program Revenues</t>
  </si>
  <si>
    <t>Primary
Government</t>
  </si>
  <si>
    <t>General revenues:</t>
  </si>
  <si>
    <t>Property taxes</t>
  </si>
  <si>
    <t>Other taxes</t>
  </si>
  <si>
    <t>Interest and investment income</t>
  </si>
  <si>
    <t>Gain on disposal of capital asset</t>
  </si>
  <si>
    <t>Total general revenues</t>
  </si>
  <si>
    <t>Change in Net Position</t>
  </si>
  <si>
    <t>Net Position:</t>
  </si>
  <si>
    <t>Beginning of year</t>
  </si>
  <si>
    <t>End of year</t>
  </si>
  <si>
    <t>General
 Fund</t>
  </si>
  <si>
    <t>Human
 Services</t>
  </si>
  <si>
    <t>Workforce 
Development</t>
  </si>
  <si>
    <t>Operating Grants &amp;
Contributions</t>
  </si>
  <si>
    <t>Capital Grants</t>
  </si>
  <si>
    <t>TOTAL
REVENUES</t>
  </si>
  <si>
    <t>Taxes</t>
  </si>
  <si>
    <t>Lease</t>
  </si>
  <si>
    <t>Front Stmt Adj</t>
  </si>
  <si>
    <t>New General Fund</t>
  </si>
  <si>
    <t>New Capital Projects</t>
  </si>
  <si>
    <t>New Human Services</t>
  </si>
  <si>
    <t>New Workforce Development</t>
  </si>
  <si>
    <t>Front Stmt Adjs</t>
  </si>
  <si>
    <t>New Other Gvt</t>
  </si>
  <si>
    <t>Other Gvt
Total</t>
  </si>
  <si>
    <t>General gvt - admin</t>
  </si>
  <si>
    <t xml:space="preserve">Other   </t>
  </si>
  <si>
    <t>Conservation</t>
  </si>
  <si>
    <t xml:space="preserve">Culture </t>
  </si>
  <si>
    <t>GENERAL FUND - Charges for Services</t>
  </si>
  <si>
    <t>GENERAL FUND - Intergovernmental</t>
  </si>
  <si>
    <t>Misc Revenue Categories</t>
  </si>
  <si>
    <t>**NOTE:  If there are adjustments to these accounts on the General Fund-Revenue Sheet…they must be manually adjusted to the following links!  You will need to 'unprotect sheet' to adjust.</t>
  </si>
  <si>
    <t>ties out to Major Fund</t>
  </si>
  <si>
    <t>Proceed from Sale</t>
  </si>
  <si>
    <t>Adj Entries for 2360</t>
  </si>
  <si>
    <t>Journal Entries - # 1 - A-05-03</t>
  </si>
  <si>
    <t># 2  - A-05-06</t>
  </si>
  <si>
    <t># 2 - A-05-06</t>
  </si>
  <si>
    <t># 3 - T-01</t>
  </si>
  <si>
    <t># 4  - VCEDA</t>
  </si>
  <si>
    <t>Hazardous materials</t>
  </si>
  <si>
    <t>Juvenile court restitution</t>
  </si>
  <si>
    <t>Adoption counseling</t>
  </si>
  <si>
    <t>Demolitions</t>
  </si>
  <si>
    <t>Hazardous Materials</t>
  </si>
  <si>
    <t>Other:  Hazmat, 911, Juevenile Court, Adoption, Demolitions</t>
  </si>
  <si>
    <t>Other Eliminations &amp; Adj</t>
  </si>
  <si>
    <t>A/R, Fiduciary</t>
  </si>
  <si>
    <t>-</t>
  </si>
  <si>
    <t>End of Year Net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</si>
</sst>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8"/>
      <color indexed="8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14">
    <xf numFmtId="0" fontId="0" fillId="0" borderId="0" xfId="0"/>
    <xf numFmtId="17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 indent="2"/>
    </xf>
    <xf numFmtId="0" fontId="5" fillId="0" borderId="0" xfId="0" applyFont="1"/>
    <xf numFmtId="164" fontId="0" fillId="0" borderId="0" xfId="0" applyNumberFormat="1"/>
    <xf numFmtId="164" fontId="3" fillId="0" borderId="0" xfId="0" applyNumberFormat="1" applyFont="1" applyAlignment="1">
      <alignment horizontal="center" wrapText="1"/>
    </xf>
    <xf numFmtId="0" fontId="5" fillId="0" borderId="0" xfId="0" quotePrefix="1" applyFont="1"/>
    <xf numFmtId="164" fontId="2" fillId="0" borderId="0" xfId="1" applyNumberFormat="1" applyFont="1"/>
    <xf numFmtId="164" fontId="3" fillId="0" borderId="0" xfId="1" applyNumberFormat="1" applyFont="1" applyAlignment="1">
      <alignment wrapText="1"/>
    </xf>
    <xf numFmtId="164" fontId="3" fillId="0" borderId="0" xfId="1" applyNumberFormat="1" applyFont="1"/>
    <xf numFmtId="164" fontId="6" fillId="0" borderId="0" xfId="1" applyNumberFormat="1" applyFont="1"/>
    <xf numFmtId="0" fontId="6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64" fontId="0" fillId="0" borderId="0" xfId="0" applyNumberFormat="1" applyProtection="1">
      <protection locked="0"/>
    </xf>
    <xf numFmtId="164" fontId="0" fillId="0" borderId="0" xfId="0" applyNumberFormat="1" applyFill="1"/>
    <xf numFmtId="164" fontId="3" fillId="0" borderId="0" xfId="0" applyNumberFormat="1" applyFont="1" applyFill="1" applyAlignment="1">
      <alignment horizontal="center" wrapText="1"/>
    </xf>
    <xf numFmtId="164" fontId="0" fillId="0" borderId="0" xfId="0" applyNumberForma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0" borderId="0" xfId="0" applyNumberFormat="1" applyProtection="1"/>
    <xf numFmtId="164" fontId="0" fillId="2" borderId="1" xfId="0" applyNumberFormat="1" applyFill="1" applyBorder="1" applyProtection="1"/>
    <xf numFmtId="164" fontId="7" fillId="0" borderId="0" xfId="0" applyNumberFormat="1" applyFont="1" applyAlignment="1">
      <alignment horizontal="center"/>
    </xf>
    <xf numFmtId="164" fontId="0" fillId="0" borderId="0" xfId="0" applyNumberFormat="1" applyFill="1" applyBorder="1"/>
    <xf numFmtId="164" fontId="3" fillId="0" borderId="0" xfId="0" applyNumberFormat="1" applyFont="1" applyAlignment="1">
      <alignment horizontal="right" wrapText="1"/>
    </xf>
    <xf numFmtId="0" fontId="0" fillId="0" borderId="0" xfId="0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164" fontId="0" fillId="3" borderId="0" xfId="0" applyNumberFormat="1" applyFill="1"/>
    <xf numFmtId="17" fontId="6" fillId="0" borderId="0" xfId="0" applyNumberFormat="1" applyFont="1"/>
    <xf numFmtId="164" fontId="2" fillId="0" borderId="0" xfId="1" applyNumberFormat="1" applyFont="1" applyFill="1"/>
    <xf numFmtId="0" fontId="0" fillId="0" borderId="0" xfId="0" applyFill="1"/>
    <xf numFmtId="164" fontId="0" fillId="0" borderId="0" xfId="0" applyNumberFormat="1" applyFill="1" applyBorder="1" applyProtection="1">
      <protection locked="0"/>
    </xf>
    <xf numFmtId="0" fontId="1" fillId="0" borderId="0" xfId="0" applyFont="1" applyFill="1" applyBorder="1"/>
    <xf numFmtId="0" fontId="1" fillId="0" borderId="0" xfId="0" applyFont="1"/>
    <xf numFmtId="0" fontId="3" fillId="0" borderId="0" xfId="0" applyFont="1" applyFill="1" applyBorder="1"/>
    <xf numFmtId="44" fontId="0" fillId="2" borderId="1" xfId="0" applyNumberFormat="1" applyFill="1" applyBorder="1"/>
    <xf numFmtId="164" fontId="0" fillId="2" borderId="2" xfId="0" applyNumberFormat="1" applyFill="1" applyBorder="1" applyProtection="1">
      <protection locked="0"/>
    </xf>
    <xf numFmtId="164" fontId="0" fillId="2" borderId="0" xfId="0" applyNumberFormat="1" applyFill="1" applyBorder="1"/>
    <xf numFmtId="164" fontId="3" fillId="0" borderId="0" xfId="0" applyNumberFormat="1" applyFont="1" applyFill="1" applyAlignment="1">
      <alignment wrapText="1"/>
    </xf>
    <xf numFmtId="164" fontId="0" fillId="5" borderId="0" xfId="0" applyNumberFormat="1" applyFill="1"/>
    <xf numFmtId="164" fontId="2" fillId="4" borderId="0" xfId="1" applyNumberFormat="1" applyFont="1" applyFill="1"/>
    <xf numFmtId="44" fontId="0" fillId="0" borderId="0" xfId="0" applyNumberFormat="1"/>
    <xf numFmtId="44" fontId="3" fillId="0" borderId="0" xfId="0" applyNumberFormat="1" applyFont="1" applyAlignment="1">
      <alignment horizontal="center" wrapText="1"/>
    </xf>
    <xf numFmtId="44" fontId="0" fillId="2" borderId="3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" xfId="0" applyNumberFormat="1" applyFill="1" applyBorder="1" applyProtection="1"/>
    <xf numFmtId="44" fontId="0" fillId="0" borderId="0" xfId="0" applyNumberFormat="1" applyFill="1" applyBorder="1"/>
    <xf numFmtId="164" fontId="0" fillId="0" borderId="0" xfId="0" applyNumberFormat="1" applyAlignment="1">
      <alignment horizontal="center"/>
    </xf>
    <xf numFmtId="8" fontId="0" fillId="2" borderId="1" xfId="0" applyNumberFormat="1" applyFill="1" applyBorder="1" applyProtection="1">
      <protection locked="0"/>
    </xf>
    <xf numFmtId="8" fontId="0" fillId="2" borderId="1" xfId="0" applyNumberFormat="1" applyFill="1" applyBorder="1" applyProtection="1"/>
    <xf numFmtId="4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5" borderId="1" xfId="0" applyNumberFormat="1" applyFill="1" applyBorder="1"/>
    <xf numFmtId="164" fontId="0" fillId="0" borderId="1" xfId="0" applyNumberFormat="1" applyFill="1" applyBorder="1"/>
    <xf numFmtId="164" fontId="11" fillId="0" borderId="0" xfId="0" applyNumberFormat="1" applyFont="1" applyFill="1" applyBorder="1"/>
    <xf numFmtId="2" fontId="0" fillId="0" borderId="0" xfId="0" applyNumberFormat="1"/>
    <xf numFmtId="164" fontId="1" fillId="0" borderId="0" xfId="1" applyNumberFormat="1" applyFont="1"/>
    <xf numFmtId="164" fontId="2" fillId="8" borderId="0" xfId="1" applyNumberFormat="1" applyFont="1" applyFill="1"/>
    <xf numFmtId="0" fontId="0" fillId="0" borderId="0" xfId="0" applyAlignment="1">
      <alignment horizontal="center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/>
    </xf>
    <xf numFmtId="164" fontId="0" fillId="0" borderId="4" xfId="0" applyNumberFormat="1" applyBorder="1"/>
    <xf numFmtId="164" fontId="2" fillId="9" borderId="1" xfId="1" applyNumberFormat="1" applyFont="1" applyFill="1" applyBorder="1"/>
    <xf numFmtId="0" fontId="13" fillId="0" borderId="0" xfId="0" applyFont="1" applyFill="1" applyBorder="1" applyAlignment="1"/>
    <xf numFmtId="0" fontId="12" fillId="0" borderId="0" xfId="0" applyFont="1"/>
    <xf numFmtId="0" fontId="13" fillId="0" borderId="0" xfId="0" applyFont="1" applyAlignment="1"/>
    <xf numFmtId="164" fontId="2" fillId="9" borderId="0" xfId="1" applyNumberFormat="1" applyFont="1" applyFill="1"/>
    <xf numFmtId="164" fontId="0" fillId="0" borderId="0" xfId="0" applyNumberFormat="1" applyAlignment="1">
      <alignment horizontal="right"/>
    </xf>
    <xf numFmtId="0" fontId="3" fillId="0" borderId="0" xfId="0" applyNumberFormat="1" applyFont="1" applyFill="1" applyAlignment="1">
      <alignment wrapText="1"/>
    </xf>
    <xf numFmtId="164" fontId="0" fillId="0" borderId="0" xfId="0" applyNumberFormat="1" applyBorder="1"/>
    <xf numFmtId="164" fontId="2" fillId="0" borderId="1" xfId="1" applyNumberFormat="1" applyFont="1" applyFill="1" applyBorder="1"/>
    <xf numFmtId="44" fontId="0" fillId="0" borderId="1" xfId="0" applyNumberFormat="1" applyFill="1" applyBorder="1" applyProtection="1">
      <protection locked="0"/>
    </xf>
    <xf numFmtId="44" fontId="0" fillId="0" borderId="1" xfId="0" applyNumberFormat="1" applyFill="1" applyBorder="1"/>
    <xf numFmtId="164" fontId="0" fillId="0" borderId="1" xfId="0" applyNumberFormat="1" applyFill="1" applyBorder="1" applyProtection="1">
      <protection locked="0"/>
    </xf>
    <xf numFmtId="164" fontId="0" fillId="0" borderId="3" xfId="0" applyNumberFormat="1" applyFill="1" applyBorder="1"/>
    <xf numFmtId="0" fontId="0" fillId="0" borderId="0" xfId="0" applyAlignment="1">
      <alignment horizontal="left" indent="4"/>
    </xf>
    <xf numFmtId="0" fontId="12" fillId="0" borderId="0" xfId="0" applyFont="1" applyAlignment="1">
      <alignment horizontal="left" indent="2"/>
    </xf>
    <xf numFmtId="0" fontId="0" fillId="0" borderId="0" xfId="0" applyFont="1" applyAlignment="1">
      <alignment horizontal="left" indent="4"/>
    </xf>
    <xf numFmtId="164" fontId="8" fillId="0" borderId="1" xfId="0" applyNumberFormat="1" applyFont="1" applyFill="1" applyBorder="1"/>
    <xf numFmtId="164" fontId="0" fillId="0" borderId="1" xfId="0" applyNumberFormat="1" applyBorder="1"/>
    <xf numFmtId="0" fontId="0" fillId="0" borderId="0" xfId="0" applyAlignment="1">
      <alignment horizontal="left"/>
    </xf>
    <xf numFmtId="44" fontId="0" fillId="0" borderId="5" xfId="0" applyNumberFormat="1" applyBorder="1" applyAlignment="1">
      <alignment horizontal="center"/>
    </xf>
    <xf numFmtId="44" fontId="9" fillId="0" borderId="0" xfId="1" applyNumberFormat="1" applyFont="1"/>
    <xf numFmtId="44" fontId="0" fillId="0" borderId="5" xfId="0" applyNumberFormat="1" applyBorder="1" applyAlignment="1">
      <alignment horizontal="left"/>
    </xf>
    <xf numFmtId="44" fontId="3" fillId="0" borderId="5" xfId="0" applyNumberFormat="1" applyFont="1" applyBorder="1" applyAlignment="1">
      <alignment horizontal="center" wrapText="1"/>
    </xf>
    <xf numFmtId="44" fontId="3" fillId="0" borderId="0" xfId="0" applyNumberFormat="1" applyFont="1" applyAlignment="1">
      <alignment wrapText="1"/>
    </xf>
    <xf numFmtId="44" fontId="3" fillId="0" borderId="0" xfId="1" applyNumberFormat="1" applyFont="1" applyAlignment="1">
      <alignment wrapText="1"/>
    </xf>
    <xf numFmtId="17" fontId="12" fillId="0" borderId="0" xfId="0" applyNumberFormat="1" applyFont="1" applyAlignment="1">
      <alignment wrapText="1"/>
    </xf>
    <xf numFmtId="0" fontId="4" fillId="0" borderId="0" xfId="0" applyFont="1" applyFill="1" applyBorder="1"/>
    <xf numFmtId="164" fontId="0" fillId="0" borderId="6" xfId="0" applyNumberFormat="1" applyBorder="1"/>
    <xf numFmtId="164" fontId="0" fillId="0" borderId="9" xfId="0" applyNumberFormat="1" applyBorder="1"/>
    <xf numFmtId="0" fontId="3" fillId="0" borderId="7" xfId="0" applyFont="1" applyBorder="1"/>
    <xf numFmtId="164" fontId="0" fillId="0" borderId="7" xfId="0" applyNumberFormat="1" applyBorder="1"/>
    <xf numFmtId="164" fontId="0" fillId="0" borderId="7" xfId="0" applyNumberFormat="1" applyFill="1" applyBorder="1"/>
    <xf numFmtId="164" fontId="0" fillId="0" borderId="10" xfId="0" applyNumberFormat="1" applyFill="1" applyBorder="1"/>
    <xf numFmtId="0" fontId="0" fillId="0" borderId="7" xfId="0" applyBorder="1"/>
    <xf numFmtId="44" fontId="0" fillId="0" borderId="12" xfId="0" applyNumberFormat="1" applyBorder="1" applyAlignment="1">
      <alignment horizontal="center"/>
    </xf>
    <xf numFmtId="44" fontId="0" fillId="0" borderId="7" xfId="0" applyNumberFormat="1" applyBorder="1"/>
    <xf numFmtId="164" fontId="0" fillId="0" borderId="5" xfId="0" applyNumberFormat="1" applyBorder="1" applyAlignment="1">
      <alignment horizontal="center"/>
    </xf>
    <xf numFmtId="164" fontId="14" fillId="0" borderId="0" xfId="1" applyNumberFormat="1" applyFont="1"/>
    <xf numFmtId="164" fontId="0" fillId="0" borderId="0" xfId="0" applyNumberFormat="1" applyFill="1" applyAlignment="1">
      <alignment horizontal="left"/>
    </xf>
    <xf numFmtId="164" fontId="3" fillId="0" borderId="0" xfId="0" applyNumberFormat="1" applyFont="1" applyAlignment="1">
      <alignment horizontal="left" wrapText="1"/>
    </xf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right"/>
    </xf>
    <xf numFmtId="164" fontId="2" fillId="11" borderId="1" xfId="1" applyNumberFormat="1" applyFont="1" applyFill="1" applyBorder="1"/>
    <xf numFmtId="0" fontId="12" fillId="0" borderId="0" xfId="0" applyFont="1" applyAlignment="1">
      <alignment horizontal="center" wrapText="1"/>
    </xf>
    <xf numFmtId="164" fontId="0" fillId="10" borderId="1" xfId="0" applyNumberFormat="1" applyFill="1" applyBorder="1" applyProtection="1">
      <protection locked="0"/>
    </xf>
    <xf numFmtId="164" fontId="0" fillId="0" borderId="0" xfId="0" applyNumberFormat="1" applyFill="1" applyBorder="1" applyAlignment="1">
      <alignment horizontal="right"/>
    </xf>
    <xf numFmtId="0" fontId="17" fillId="0" borderId="0" xfId="0" applyFont="1"/>
    <xf numFmtId="164" fontId="0" fillId="0" borderId="0" xfId="0" applyNumberFormat="1" applyFont="1"/>
    <xf numFmtId="0" fontId="0" fillId="0" borderId="0" xfId="0" applyFont="1"/>
    <xf numFmtId="17" fontId="0" fillId="0" borderId="0" xfId="0" applyNumberFormat="1" applyFont="1"/>
    <xf numFmtId="0" fontId="0" fillId="0" borderId="0" xfId="0" applyFont="1" applyAlignment="1">
      <alignment horizontal="left" indent="2"/>
    </xf>
    <xf numFmtId="164" fontId="0" fillId="0" borderId="0" xfId="0" applyNumberFormat="1" applyFont="1" applyAlignment="1">
      <alignment horizontal="center"/>
    </xf>
    <xf numFmtId="44" fontId="12" fillId="0" borderId="7" xfId="0" applyNumberFormat="1" applyFont="1" applyBorder="1"/>
    <xf numFmtId="44" fontId="0" fillId="0" borderId="0" xfId="0" applyNumberFormat="1" applyFill="1"/>
    <xf numFmtId="44" fontId="12" fillId="0" borderId="7" xfId="0" applyNumberFormat="1" applyFont="1" applyFill="1" applyBorder="1"/>
    <xf numFmtId="0" fontId="18" fillId="0" borderId="0" xfId="0" applyFont="1"/>
    <xf numFmtId="44" fontId="12" fillId="0" borderId="0" xfId="0" applyNumberFormat="1" applyFont="1" applyAlignment="1">
      <alignment wrapText="1"/>
    </xf>
    <xf numFmtId="44" fontId="12" fillId="0" borderId="13" xfId="0" applyNumberFormat="1" applyFont="1" applyBorder="1"/>
    <xf numFmtId="4" fontId="0" fillId="0" borderId="0" xfId="0" applyNumberFormat="1"/>
    <xf numFmtId="164" fontId="12" fillId="0" borderId="7" xfId="0" applyNumberFormat="1" applyFont="1" applyBorder="1"/>
    <xf numFmtId="0" fontId="13" fillId="0" borderId="0" xfId="0" applyFont="1"/>
    <xf numFmtId="4" fontId="12" fillId="0" borderId="7" xfId="0" applyNumberFormat="1" applyFont="1" applyBorder="1"/>
    <xf numFmtId="44" fontId="12" fillId="0" borderId="0" xfId="0" applyNumberFormat="1" applyFont="1" applyFill="1"/>
    <xf numFmtId="44" fontId="12" fillId="0" borderId="0" xfId="0" applyNumberFormat="1" applyFont="1"/>
    <xf numFmtId="44" fontId="0" fillId="9" borderId="0" xfId="0" applyNumberFormat="1" applyFill="1"/>
    <xf numFmtId="0" fontId="0" fillId="9" borderId="0" xfId="0" applyFill="1"/>
    <xf numFmtId="4" fontId="12" fillId="0" borderId="13" xfId="0" applyNumberFormat="1" applyFont="1" applyBorder="1"/>
    <xf numFmtId="44" fontId="0" fillId="0" borderId="15" xfId="0" applyNumberFormat="1" applyFill="1" applyBorder="1"/>
    <xf numFmtId="0" fontId="12" fillId="0" borderId="7" xfId="0" applyFont="1" applyBorder="1"/>
    <xf numFmtId="0" fontId="0" fillId="0" borderId="16" xfId="0" applyBorder="1"/>
    <xf numFmtId="44" fontId="0" fillId="0" borderId="17" xfId="0" applyNumberFormat="1" applyFill="1" applyBorder="1"/>
    <xf numFmtId="44" fontId="0" fillId="0" borderId="14" xfId="0" applyNumberFormat="1" applyBorder="1"/>
    <xf numFmtId="0" fontId="0" fillId="0" borderId="18" xfId="0" applyBorder="1"/>
    <xf numFmtId="164" fontId="11" fillId="0" borderId="1" xfId="0" applyNumberFormat="1" applyFont="1" applyFill="1" applyBorder="1"/>
    <xf numFmtId="0" fontId="12" fillId="0" borderId="14" xfId="0" applyFont="1" applyBorder="1" applyAlignment="1">
      <alignment horizontal="center"/>
    </xf>
    <xf numFmtId="44" fontId="12" fillId="0" borderId="14" xfId="0" applyNumberFormat="1" applyFont="1" applyBorder="1"/>
    <xf numFmtId="44" fontId="12" fillId="0" borderId="14" xfId="0" applyNumberFormat="1" applyFont="1" applyBorder="1" applyAlignment="1">
      <alignment wrapText="1"/>
    </xf>
    <xf numFmtId="44" fontId="0" fillId="0" borderId="14" xfId="0" applyNumberFormat="1" applyBorder="1" applyAlignment="1">
      <alignment wrapText="1"/>
    </xf>
    <xf numFmtId="44" fontId="0" fillId="0" borderId="13" xfId="0" applyNumberFormat="1" applyBorder="1"/>
    <xf numFmtId="0" fontId="12" fillId="0" borderId="0" xfId="0" applyFont="1" applyAlignment="1">
      <alignment wrapText="1"/>
    </xf>
    <xf numFmtId="44" fontId="12" fillId="0" borderId="0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44" fontId="3" fillId="0" borderId="0" xfId="0" applyNumberFormat="1" applyFont="1" applyFill="1" applyAlignment="1">
      <alignment horizontal="center" wrapText="1"/>
    </xf>
    <xf numFmtId="44" fontId="12" fillId="0" borderId="0" xfId="0" applyNumberFormat="1" applyFont="1" applyAlignment="1">
      <alignment horizontal="center" wrapText="1"/>
    </xf>
    <xf numFmtId="44" fontId="12" fillId="0" borderId="0" xfId="0" applyNumberFormat="1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4" fontId="0" fillId="13" borderId="0" xfId="0" applyNumberFormat="1" applyFill="1"/>
    <xf numFmtId="44" fontId="0" fillId="14" borderId="0" xfId="0" applyNumberFormat="1" applyFill="1"/>
    <xf numFmtId="44" fontId="0" fillId="15" borderId="0" xfId="0" applyNumberFormat="1" applyFill="1"/>
    <xf numFmtId="44" fontId="0" fillId="16" borderId="0" xfId="0" applyNumberFormat="1" applyFill="1"/>
    <xf numFmtId="44" fontId="0" fillId="17" borderId="0" xfId="0" applyNumberFormat="1" applyFill="1"/>
    <xf numFmtId="44" fontId="0" fillId="18" borderId="0" xfId="0" applyNumberFormat="1" applyFill="1"/>
    <xf numFmtId="44" fontId="0" fillId="19" borderId="0" xfId="0" applyNumberFormat="1" applyFill="1"/>
    <xf numFmtId="44" fontId="19" fillId="0" borderId="0" xfId="0" applyNumberFormat="1" applyFont="1"/>
    <xf numFmtId="44" fontId="0" fillId="0" borderId="8" xfId="0" applyNumberFormat="1" applyBorder="1"/>
    <xf numFmtId="44" fontId="0" fillId="0" borderId="19" xfId="0" applyNumberFormat="1" applyBorder="1"/>
    <xf numFmtId="44" fontId="0" fillId="0" borderId="4" xfId="0" applyNumberFormat="1" applyBorder="1"/>
    <xf numFmtId="44" fontId="0" fillId="0" borderId="1" xfId="0" applyNumberFormat="1" applyBorder="1"/>
    <xf numFmtId="44" fontId="0" fillId="0" borderId="0" xfId="0" applyNumberFormat="1" applyBorder="1"/>
    <xf numFmtId="164" fontId="2" fillId="0" borderId="0" xfId="1" applyNumberFormat="1" applyFont="1" applyFill="1" applyBorder="1"/>
    <xf numFmtId="164" fontId="2" fillId="0" borderId="8" xfId="1" applyNumberFormat="1" applyFont="1" applyFill="1" applyBorder="1"/>
    <xf numFmtId="164" fontId="2" fillId="0" borderId="19" xfId="1" applyNumberFormat="1" applyFont="1" applyFill="1" applyBorder="1"/>
    <xf numFmtId="164" fontId="2" fillId="0" borderId="4" xfId="1" applyNumberFormat="1" applyFont="1" applyFill="1" applyBorder="1"/>
    <xf numFmtId="44" fontId="12" fillId="0" borderId="0" xfId="0" applyNumberFormat="1" applyFont="1" applyAlignment="1">
      <alignment horizontal="center"/>
    </xf>
    <xf numFmtId="164" fontId="1" fillId="0" borderId="1" xfId="1" applyNumberFormat="1" applyFont="1" applyFill="1" applyBorder="1"/>
    <xf numFmtId="44" fontId="20" fillId="19" borderId="0" xfId="0" applyNumberFormat="1" applyFont="1" applyFill="1"/>
    <xf numFmtId="44" fontId="12" fillId="9" borderId="0" xfId="0" applyNumberFormat="1" applyFont="1" applyFill="1"/>
    <xf numFmtId="164" fontId="21" fillId="0" borderId="11" xfId="0" applyNumberFormat="1" applyFont="1" applyFill="1" applyBorder="1"/>
    <xf numFmtId="164" fontId="0" fillId="10" borderId="8" xfId="0" applyNumberFormat="1" applyFill="1" applyBorder="1" applyProtection="1">
      <protection locked="0"/>
    </xf>
    <xf numFmtId="44" fontId="0" fillId="0" borderId="12" xfId="0" applyNumberFormat="1" applyFill="1" applyBorder="1" applyAlignment="1">
      <alignment horizontal="center"/>
    </xf>
    <xf numFmtId="164" fontId="3" fillId="0" borderId="0" xfId="1" applyNumberFormat="1" applyFont="1" applyFill="1" applyAlignment="1">
      <alignment wrapText="1"/>
    </xf>
    <xf numFmtId="164" fontId="3" fillId="0" borderId="0" xfId="1" applyNumberFormat="1" applyFont="1" applyFill="1"/>
    <xf numFmtId="17" fontId="12" fillId="12" borderId="14" xfId="0" applyNumberFormat="1" applyFont="1" applyFill="1" applyBorder="1" applyProtection="1">
      <protection locked="0"/>
    </xf>
    <xf numFmtId="17" fontId="0" fillId="0" borderId="0" xfId="0" applyNumberFormat="1" applyAlignment="1">
      <alignment horizontal="left"/>
    </xf>
    <xf numFmtId="44" fontId="0" fillId="9" borderId="0" xfId="0" applyNumberFormat="1" applyFill="1" applyProtection="1">
      <protection locked="0"/>
    </xf>
    <xf numFmtId="44" fontId="0" fillId="10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</xf>
    <xf numFmtId="164" fontId="0" fillId="2" borderId="3" xfId="0" applyNumberFormat="1" applyFill="1" applyBorder="1" applyProtection="1">
      <protection locked="0"/>
    </xf>
    <xf numFmtId="164" fontId="2" fillId="8" borderId="1" xfId="1" applyNumberFormat="1" applyFont="1" applyFill="1" applyBorder="1" applyProtection="1">
      <protection locked="0"/>
    </xf>
    <xf numFmtId="164" fontId="1" fillId="8" borderId="1" xfId="1" applyNumberFormat="1" applyFont="1" applyFill="1" applyBorder="1" applyProtection="1">
      <protection locked="0"/>
    </xf>
    <xf numFmtId="164" fontId="2" fillId="7" borderId="1" xfId="1" applyNumberFormat="1" applyFont="1" applyFill="1" applyBorder="1" applyProtection="1">
      <protection locked="0"/>
    </xf>
    <xf numFmtId="164" fontId="2" fillId="6" borderId="1" xfId="1" applyNumberFormat="1" applyFont="1" applyFill="1" applyBorder="1" applyProtection="1">
      <protection locked="0"/>
    </xf>
    <xf numFmtId="164" fontId="2" fillId="8" borderId="1" xfId="1" applyNumberFormat="1" applyFont="1" applyFill="1" applyBorder="1" applyAlignment="1" applyProtection="1">
      <alignment horizontal="center"/>
      <protection locked="0"/>
    </xf>
    <xf numFmtId="164" fontId="1" fillId="6" borderId="1" xfId="1" applyNumberFormat="1" applyFon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44" fontId="10" fillId="2" borderId="0" xfId="0" applyNumberFormat="1" applyFont="1" applyFill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0" xfId="0" applyNumberFormat="1" applyFill="1" applyProtection="1">
      <protection locked="0"/>
    </xf>
    <xf numFmtId="44" fontId="10" fillId="2" borderId="1" xfId="0" applyNumberFormat="1" applyFont="1" applyFill="1" applyBorder="1" applyProtection="1">
      <protection locked="0"/>
    </xf>
    <xf numFmtId="164" fontId="10" fillId="2" borderId="1" xfId="0" applyNumberFormat="1" applyFont="1" applyFill="1" applyBorder="1" applyProtection="1">
      <protection locked="0"/>
    </xf>
    <xf numFmtId="17" fontId="0" fillId="0" borderId="0" xfId="0" applyNumberFormat="1" applyFont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0" borderId="0" xfId="1" applyNumberFormat="1" applyFont="1"/>
    <xf numFmtId="164" fontId="0" fillId="9" borderId="7" xfId="0" applyNumberFormat="1" applyFill="1" applyBorder="1"/>
    <xf numFmtId="44" fontId="0" fillId="0" borderId="0" xfId="1" applyFont="1"/>
    <xf numFmtId="164" fontId="0" fillId="9" borderId="0" xfId="0" applyNumberFormat="1" applyFill="1"/>
    <xf numFmtId="164" fontId="0" fillId="17" borderId="1" xfId="0" applyNumberFormat="1" applyFill="1" applyBorder="1" applyProtection="1">
      <protection locked="0"/>
    </xf>
    <xf numFmtId="164" fontId="2" fillId="9" borderId="1" xfId="1" applyNumberFormat="1" applyFont="1" applyFill="1" applyBorder="1" applyProtection="1">
      <protection locked="0"/>
    </xf>
    <xf numFmtId="44" fontId="0" fillId="20" borderId="0" xfId="0" applyNumberFormat="1" applyFill="1"/>
    <xf numFmtId="164" fontId="0" fillId="21" borderId="0" xfId="0" applyNumberFormat="1" applyFill="1"/>
    <xf numFmtId="44" fontId="0" fillId="20" borderId="0" xfId="1" applyFont="1" applyFill="1"/>
    <xf numFmtId="44" fontId="0" fillId="0" borderId="0" xfId="1" applyFont="1" applyFill="1"/>
    <xf numFmtId="44" fontId="0" fillId="0" borderId="0" xfId="1" applyFont="1" applyAlignment="1">
      <alignment horizontal="right"/>
    </xf>
    <xf numFmtId="44" fontId="0" fillId="0" borderId="7" xfId="1" applyFont="1" applyBorder="1"/>
    <xf numFmtId="164" fontId="0" fillId="15" borderId="0" xfId="0" applyNumberFormat="1" applyFill="1"/>
    <xf numFmtId="44" fontId="10" fillId="0" borderId="0" xfId="0" applyNumberFormat="1" applyFont="1"/>
    <xf numFmtId="0" fontId="10" fillId="0" borderId="0" xfId="0" applyFont="1"/>
    <xf numFmtId="44" fontId="12" fillId="0" borderId="6" xfId="1" applyFont="1" applyBorder="1"/>
    <xf numFmtId="164" fontId="0" fillId="14" borderId="1" xfId="0" applyNumberFormat="1" applyFill="1" applyBorder="1" applyProtection="1">
      <protection locked="0"/>
    </xf>
    <xf numFmtId="44" fontId="0" fillId="14" borderId="14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76</xdr:row>
      <xdr:rowOff>66675</xdr:rowOff>
    </xdr:from>
    <xdr:to>
      <xdr:col>5</xdr:col>
      <xdr:colOff>0</xdr:colOff>
      <xdr:row>77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>
          <a:off x="4848225" y="14658975"/>
          <a:ext cx="609600" cy="133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76</xdr:row>
      <xdr:rowOff>9525</xdr:rowOff>
    </xdr:from>
    <xdr:to>
      <xdr:col>7</xdr:col>
      <xdr:colOff>276225</xdr:colOff>
      <xdr:row>77</xdr:row>
      <xdr:rowOff>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6505575" y="14601825"/>
          <a:ext cx="1143000" cy="180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76</xdr:row>
      <xdr:rowOff>19050</xdr:rowOff>
    </xdr:from>
    <xdr:to>
      <xdr:col>9</xdr:col>
      <xdr:colOff>219075</xdr:colOff>
      <xdr:row>77</xdr:row>
      <xdr:rowOff>123825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9105900" y="14611350"/>
          <a:ext cx="333375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76</xdr:row>
      <xdr:rowOff>9525</xdr:rowOff>
    </xdr:from>
    <xdr:to>
      <xdr:col>11</xdr:col>
      <xdr:colOff>333375</xdr:colOff>
      <xdr:row>77</xdr:row>
      <xdr:rowOff>123825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H="1">
          <a:off x="10153650" y="14601825"/>
          <a:ext cx="1123950" cy="304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75</xdr:row>
      <xdr:rowOff>169334</xdr:rowOff>
    </xdr:from>
    <xdr:to>
      <xdr:col>13</xdr:col>
      <xdr:colOff>42334</xdr:colOff>
      <xdr:row>79</xdr:row>
      <xdr:rowOff>10584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0720917" y="14562667"/>
          <a:ext cx="2095500" cy="603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656167</xdr:colOff>
      <xdr:row>63</xdr:row>
      <xdr:rowOff>169334</xdr:rowOff>
    </xdr:from>
    <xdr:to>
      <xdr:col>15</xdr:col>
      <xdr:colOff>656168</xdr:colOff>
      <xdr:row>78</xdr:row>
      <xdr:rowOff>158750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 flipH="1">
          <a:off x="13430250" y="12848167"/>
          <a:ext cx="1545168" cy="22754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jor%20Fund%20Determinatio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 fund 2019"/>
      <sheetName val="Trial Balance 2010"/>
      <sheetName val="General Fund 2019"/>
    </sheetNames>
    <sheetDataSet>
      <sheetData sheetId="0">
        <row r="110">
          <cell r="H110">
            <v>10105014.01</v>
          </cell>
          <cell r="J110">
            <v>59069284.389999993</v>
          </cell>
          <cell r="K110">
            <v>10092146.619999999</v>
          </cell>
        </row>
        <row r="112">
          <cell r="C112">
            <v>114685329.14</v>
          </cell>
          <cell r="D112">
            <v>18826888.75</v>
          </cell>
          <cell r="E112">
            <v>728329.93</v>
          </cell>
          <cell r="F112">
            <v>95130110.459999993</v>
          </cell>
          <cell r="G112">
            <v>65614385.959999993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3.vml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5" Type="http://schemas.openxmlformats.org/officeDocument/2006/relationships/printerSettings" Target="../printerSettings/printerSettings18.bin"/><Relationship Id="rId4" Type="http://schemas.openxmlformats.org/officeDocument/2006/relationships/printerSettings" Target="../printerSettings/printerSettings17.bin"/><Relationship Id="rId9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3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Relationship Id="rId6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5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6.bin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Relationship Id="rId6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Relationship Id="rId6" Type="http://schemas.openxmlformats.org/officeDocument/2006/relationships/printerSettings" Target="../printerSettings/printerSettings65.bin"/><Relationship Id="rId5" Type="http://schemas.openxmlformats.org/officeDocument/2006/relationships/printerSettings" Target="../printerSettings/printerSettings64.bin"/><Relationship Id="rId4" Type="http://schemas.openxmlformats.org/officeDocument/2006/relationships/printerSettings" Target="../printerSettings/printerSettings6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6" Type="http://schemas.openxmlformats.org/officeDocument/2006/relationships/printerSettings" Target="../printerSettings/printerSettings78.bin"/><Relationship Id="rId5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7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1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8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6.bin"/><Relationship Id="rId1" Type="http://schemas.openxmlformats.org/officeDocument/2006/relationships/printerSettings" Target="../printerSettings/printerSettings85.bin"/><Relationship Id="rId6" Type="http://schemas.openxmlformats.org/officeDocument/2006/relationships/printerSettings" Target="../printerSettings/printerSettings90.bin"/><Relationship Id="rId5" Type="http://schemas.openxmlformats.org/officeDocument/2006/relationships/printerSettings" Target="../printerSettings/printerSettings89.bin"/><Relationship Id="rId4" Type="http://schemas.openxmlformats.org/officeDocument/2006/relationships/printerSettings" Target="../printerSettings/printerSettings8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3.bin"/><Relationship Id="rId2" Type="http://schemas.openxmlformats.org/officeDocument/2006/relationships/printerSettings" Target="../printerSettings/printerSettings92.bin"/><Relationship Id="rId1" Type="http://schemas.openxmlformats.org/officeDocument/2006/relationships/printerSettings" Target="../printerSettings/printerSettings91.bin"/><Relationship Id="rId6" Type="http://schemas.openxmlformats.org/officeDocument/2006/relationships/printerSettings" Target="../printerSettings/printerSettings96.bin"/><Relationship Id="rId5" Type="http://schemas.openxmlformats.org/officeDocument/2006/relationships/printerSettings" Target="../printerSettings/printerSettings95.bin"/><Relationship Id="rId4" Type="http://schemas.openxmlformats.org/officeDocument/2006/relationships/printerSettings" Target="../printerSettings/printerSettings9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9.bin"/><Relationship Id="rId7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8.bin"/><Relationship Id="rId1" Type="http://schemas.openxmlformats.org/officeDocument/2006/relationships/printerSettings" Target="../printerSettings/printerSettings97.bin"/><Relationship Id="rId6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10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6.bin"/><Relationship Id="rId7" Type="http://schemas.openxmlformats.org/officeDocument/2006/relationships/printerSettings" Target="../printerSettings/printerSettings110.bin"/><Relationship Id="rId2" Type="http://schemas.openxmlformats.org/officeDocument/2006/relationships/printerSettings" Target="../printerSettings/printerSettings105.bin"/><Relationship Id="rId1" Type="http://schemas.openxmlformats.org/officeDocument/2006/relationships/printerSettings" Target="../printerSettings/printerSettings104.bin"/><Relationship Id="rId6" Type="http://schemas.openxmlformats.org/officeDocument/2006/relationships/printerSettings" Target="../printerSettings/printerSettings109.bin"/><Relationship Id="rId5" Type="http://schemas.openxmlformats.org/officeDocument/2006/relationships/printerSettings" Target="../printerSettings/printerSettings108.bin"/><Relationship Id="rId4" Type="http://schemas.openxmlformats.org/officeDocument/2006/relationships/printerSettings" Target="../printerSettings/printerSettings10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3.bin"/><Relationship Id="rId7" Type="http://schemas.openxmlformats.org/officeDocument/2006/relationships/printerSettings" Target="../printerSettings/printerSettings117.bin"/><Relationship Id="rId2" Type="http://schemas.openxmlformats.org/officeDocument/2006/relationships/printerSettings" Target="../printerSettings/printerSettings112.bin"/><Relationship Id="rId1" Type="http://schemas.openxmlformats.org/officeDocument/2006/relationships/printerSettings" Target="../printerSettings/printerSettings111.bin"/><Relationship Id="rId6" Type="http://schemas.openxmlformats.org/officeDocument/2006/relationships/printerSettings" Target="../printerSettings/printerSettings116.bin"/><Relationship Id="rId5" Type="http://schemas.openxmlformats.org/officeDocument/2006/relationships/printerSettings" Target="../printerSettings/printerSettings115.bin"/><Relationship Id="rId4" Type="http://schemas.openxmlformats.org/officeDocument/2006/relationships/printerSettings" Target="../printerSettings/printerSettings11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5" Type="http://schemas.openxmlformats.org/officeDocument/2006/relationships/printerSettings" Target="../printerSettings/printerSettings122.bin"/><Relationship Id="rId4" Type="http://schemas.openxmlformats.org/officeDocument/2006/relationships/printerSettings" Target="../printerSettings/printerSettings121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7.bin"/><Relationship Id="rId7" Type="http://schemas.openxmlformats.org/officeDocument/2006/relationships/printerSettings" Target="../printerSettings/printerSettings131.bin"/><Relationship Id="rId2" Type="http://schemas.openxmlformats.org/officeDocument/2006/relationships/printerSettings" Target="../printerSettings/printerSettings126.bin"/><Relationship Id="rId1" Type="http://schemas.openxmlformats.org/officeDocument/2006/relationships/printerSettings" Target="../printerSettings/printerSettings125.bin"/><Relationship Id="rId6" Type="http://schemas.openxmlformats.org/officeDocument/2006/relationships/printerSettings" Target="../printerSettings/printerSettings130.bin"/><Relationship Id="rId5" Type="http://schemas.openxmlformats.org/officeDocument/2006/relationships/printerSettings" Target="../printerSettings/printerSettings129.bin"/><Relationship Id="rId4" Type="http://schemas.openxmlformats.org/officeDocument/2006/relationships/printerSettings" Target="../printerSettings/printerSettings128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4.bin"/><Relationship Id="rId7" Type="http://schemas.openxmlformats.org/officeDocument/2006/relationships/printerSettings" Target="../printerSettings/printerSettings138.bin"/><Relationship Id="rId2" Type="http://schemas.openxmlformats.org/officeDocument/2006/relationships/printerSettings" Target="../printerSettings/printerSettings133.bin"/><Relationship Id="rId1" Type="http://schemas.openxmlformats.org/officeDocument/2006/relationships/printerSettings" Target="../printerSettings/printerSettings132.bin"/><Relationship Id="rId6" Type="http://schemas.openxmlformats.org/officeDocument/2006/relationships/printerSettings" Target="../printerSettings/printerSettings137.bin"/><Relationship Id="rId5" Type="http://schemas.openxmlformats.org/officeDocument/2006/relationships/printerSettings" Target="../printerSettings/printerSettings136.bin"/><Relationship Id="rId4" Type="http://schemas.openxmlformats.org/officeDocument/2006/relationships/printerSettings" Target="../printerSettings/printerSettings13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41.bin"/><Relationship Id="rId1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4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00"/>
  <sheetViews>
    <sheetView zoomScaleNormal="100" workbookViewId="0">
      <pane xSplit="1" ySplit="6" topLeftCell="B72" activePane="bottomRight" state="frozen"/>
      <selection pane="topRight" activeCell="B1" sqref="B1"/>
      <selection pane="bottomLeft" activeCell="A7" sqref="A7"/>
      <selection pane="bottomRight" activeCell="C100" sqref="C100"/>
    </sheetView>
  </sheetViews>
  <sheetFormatPr defaultRowHeight="15" x14ac:dyDescent="0.25"/>
  <cols>
    <col min="1" max="1" width="33.140625" customWidth="1"/>
    <col min="2" max="2" width="16.140625" style="6" bestFit="1" customWidth="1"/>
    <col min="3" max="3" width="19.85546875" style="17" bestFit="1" customWidth="1"/>
    <col min="4" max="4" width="20.140625" style="17" bestFit="1" customWidth="1"/>
    <col min="5" max="5" width="20.140625" style="17" customWidth="1"/>
    <col min="6" max="6" width="19.140625" style="17" bestFit="1" customWidth="1"/>
    <col min="7" max="7" width="15.7109375" style="6" customWidth="1"/>
    <col min="8" max="8" width="34.85546875" style="83" customWidth="1"/>
    <col min="9" max="9" width="15.140625" style="43" customWidth="1"/>
    <col min="10" max="10" width="13.85546875" style="43" bestFit="1" customWidth="1"/>
    <col min="11" max="11" width="15" style="43" customWidth="1"/>
    <col min="12" max="12" width="16.28515625" style="84" bestFit="1" customWidth="1"/>
    <col min="13" max="14" width="16.28515625" style="84" customWidth="1"/>
    <col min="15" max="15" width="18.7109375" style="43" bestFit="1" customWidth="1"/>
    <col min="16" max="16" width="20" style="43" customWidth="1"/>
    <col min="17" max="17" width="16" style="43" customWidth="1"/>
    <col min="18" max="18" width="15.28515625" bestFit="1" customWidth="1"/>
    <col min="19" max="19" width="20.5703125" bestFit="1" customWidth="1"/>
    <col min="20" max="20" width="15.28515625" bestFit="1" customWidth="1"/>
    <col min="21" max="21" width="13.42578125" bestFit="1" customWidth="1"/>
    <col min="22" max="22" width="12.7109375" bestFit="1" customWidth="1"/>
  </cols>
  <sheetData>
    <row r="1" spans="1:22" ht="23.25" x14ac:dyDescent="0.35">
      <c r="A1" s="5" t="s">
        <v>186</v>
      </c>
    </row>
    <row r="2" spans="1:22" x14ac:dyDescent="0.25">
      <c r="A2" t="s">
        <v>1</v>
      </c>
    </row>
    <row r="3" spans="1:22" x14ac:dyDescent="0.25">
      <c r="A3" s="176">
        <v>43830</v>
      </c>
    </row>
    <row r="4" spans="1:22" x14ac:dyDescent="0.25">
      <c r="A4" s="1" t="s">
        <v>229</v>
      </c>
    </row>
    <row r="5" spans="1:22" x14ac:dyDescent="0.25">
      <c r="A5" s="1"/>
      <c r="H5" s="85" t="s">
        <v>378</v>
      </c>
    </row>
    <row r="6" spans="1:22" s="2" customFormat="1" ht="45" x14ac:dyDescent="0.25">
      <c r="B6" s="14" t="s">
        <v>191</v>
      </c>
      <c r="C6" s="40" t="s">
        <v>241</v>
      </c>
      <c r="D6" s="40" t="s">
        <v>192</v>
      </c>
      <c r="E6" s="70" t="s">
        <v>357</v>
      </c>
      <c r="F6" s="40" t="s">
        <v>187</v>
      </c>
      <c r="G6" s="14" t="s">
        <v>188</v>
      </c>
      <c r="H6" s="86" t="s">
        <v>377</v>
      </c>
      <c r="I6" s="87" t="s">
        <v>379</v>
      </c>
      <c r="J6" s="87" t="s">
        <v>380</v>
      </c>
      <c r="K6" s="87" t="s">
        <v>381</v>
      </c>
      <c r="L6" s="88" t="s">
        <v>382</v>
      </c>
      <c r="M6" s="88" t="s">
        <v>405</v>
      </c>
      <c r="N6" s="88" t="s">
        <v>496</v>
      </c>
      <c r="O6" s="87" t="s">
        <v>383</v>
      </c>
      <c r="P6" s="87" t="s">
        <v>384</v>
      </c>
      <c r="Q6" s="87" t="s">
        <v>385</v>
      </c>
      <c r="R6" s="15" t="s">
        <v>387</v>
      </c>
      <c r="S6" s="15" t="s">
        <v>388</v>
      </c>
    </row>
    <row r="7" spans="1:22" ht="15.75" thickBot="1" x14ac:dyDescent="0.3">
      <c r="A7" s="3" t="s">
        <v>2</v>
      </c>
    </row>
    <row r="8" spans="1:22" ht="15.75" thickBot="1" x14ac:dyDescent="0.3">
      <c r="A8" s="4" t="s">
        <v>3</v>
      </c>
      <c r="B8" s="17">
        <f>'General Fund'!M8</f>
        <v>6848931.2400000012</v>
      </c>
      <c r="C8" s="17">
        <f>'Capital Projects Fund'!H8</f>
        <v>-139518</v>
      </c>
      <c r="D8" s="17">
        <f>'Human Services'!I8</f>
        <v>824930.46000000008</v>
      </c>
      <c r="E8" s="108">
        <v>-1572521.35</v>
      </c>
      <c r="F8" s="17">
        <f>'Other Government'!AI8</f>
        <v>4380718.95</v>
      </c>
      <c r="G8" s="17">
        <f t="shared" ref="G8:G19" si="0">SUM(B8:F8)</f>
        <v>10342541.300000001</v>
      </c>
      <c r="H8" s="108">
        <f>59247146.14-H15</f>
        <v>59247146.140000001</v>
      </c>
      <c r="I8" s="108">
        <v>45122.04</v>
      </c>
      <c r="J8" s="108">
        <v>77818.399999999994</v>
      </c>
      <c r="K8" s="108">
        <v>4431.51</v>
      </c>
      <c r="L8" s="108">
        <v>100750.59</v>
      </c>
      <c r="M8" s="108">
        <f>-667951.41</f>
        <v>-667951.41</v>
      </c>
      <c r="N8" s="108">
        <v>72905.8</v>
      </c>
      <c r="O8" s="108"/>
      <c r="P8" s="43">
        <f>SUM(H8:O8)</f>
        <v>58880223.07</v>
      </c>
      <c r="Q8" s="6">
        <f>G8+P8</f>
        <v>69222764.370000005</v>
      </c>
      <c r="R8" s="43">
        <v>8444804.1199999992</v>
      </c>
      <c r="S8" s="91">
        <f>Q8+R8</f>
        <v>77667568.49000001</v>
      </c>
      <c r="U8" s="6"/>
      <c r="V8" s="6">
        <f>SUM(M8:N18)</f>
        <v>1184280.0900000001</v>
      </c>
    </row>
    <row r="9" spans="1:22" ht="15.75" thickBot="1" x14ac:dyDescent="0.3">
      <c r="A9" s="4" t="s">
        <v>189</v>
      </c>
      <c r="B9" s="17"/>
      <c r="D9" s="17">
        <f>'Human Services'!I9</f>
        <v>0</v>
      </c>
      <c r="E9" s="108"/>
      <c r="F9" s="17">
        <v>0</v>
      </c>
      <c r="G9" s="17">
        <f t="shared" si="0"/>
        <v>0</v>
      </c>
      <c r="H9" s="108"/>
      <c r="I9" s="108"/>
      <c r="J9" s="108"/>
      <c r="K9" s="108"/>
      <c r="L9" s="108"/>
      <c r="M9" s="108"/>
      <c r="N9" s="108"/>
      <c r="O9" s="108"/>
      <c r="P9" s="43">
        <f t="shared" ref="P9:P18" si="1">SUM(H9:O9)</f>
        <v>0</v>
      </c>
      <c r="Q9" s="6">
        <f t="shared" ref="Q9:Q18" si="2">G9+P9</f>
        <v>0</v>
      </c>
      <c r="S9" s="91">
        <f t="shared" ref="S9:S19" si="3">Q9+R9</f>
        <v>0</v>
      </c>
    </row>
    <row r="10" spans="1:22" ht="15.75" thickBot="1" x14ac:dyDescent="0.3">
      <c r="A10" s="4" t="s">
        <v>232</v>
      </c>
      <c r="B10" s="17">
        <f>'General Fund'!M10</f>
        <v>1462931.1099999999</v>
      </c>
      <c r="E10" s="108"/>
      <c r="G10" s="17">
        <f t="shared" si="0"/>
        <v>1462931.1099999999</v>
      </c>
      <c r="H10" s="108"/>
      <c r="I10" s="108"/>
      <c r="J10" s="108"/>
      <c r="K10" s="108"/>
      <c r="L10" s="108"/>
      <c r="M10" s="108"/>
      <c r="N10" s="108"/>
      <c r="O10" s="108"/>
      <c r="P10" s="43">
        <f t="shared" si="1"/>
        <v>0</v>
      </c>
      <c r="Q10" s="6">
        <f t="shared" si="2"/>
        <v>1462931.1099999999</v>
      </c>
      <c r="R10" s="57"/>
      <c r="S10" s="91">
        <f t="shared" si="3"/>
        <v>1462931.1099999999</v>
      </c>
    </row>
    <row r="11" spans="1:22" ht="15.75" thickBot="1" x14ac:dyDescent="0.3">
      <c r="A11" s="4" t="s">
        <v>4</v>
      </c>
      <c r="B11" s="17">
        <f>'General Fund'!M9</f>
        <v>399176.89</v>
      </c>
      <c r="C11" s="17">
        <f>'Capital Projects Fund'!H9</f>
        <v>0</v>
      </c>
      <c r="D11" s="199">
        <f>'Human Services'!I10</f>
        <v>1101496.1600000001</v>
      </c>
      <c r="E11" s="108"/>
      <c r="F11" s="199">
        <f>'Other Government'!AI9</f>
        <v>1038191.14</v>
      </c>
      <c r="G11" s="17">
        <f t="shared" si="0"/>
        <v>2538864.1900000004</v>
      </c>
      <c r="H11" s="108"/>
      <c r="I11" s="108"/>
      <c r="J11" s="108"/>
      <c r="K11" s="108"/>
      <c r="L11" s="108"/>
      <c r="M11" s="108">
        <v>692433.89</v>
      </c>
      <c r="N11" s="108"/>
      <c r="O11" s="108"/>
      <c r="P11" s="43">
        <f t="shared" si="1"/>
        <v>692433.89</v>
      </c>
      <c r="Q11" s="6">
        <f t="shared" si="2"/>
        <v>3231298.0800000005</v>
      </c>
      <c r="S11" s="91">
        <f t="shared" si="3"/>
        <v>3231298.0800000005</v>
      </c>
    </row>
    <row r="12" spans="1:22" ht="15.75" thickBot="1" x14ac:dyDescent="0.3">
      <c r="A12" s="4" t="s">
        <v>406</v>
      </c>
      <c r="B12" s="17">
        <f>'General Fund'!M11</f>
        <v>944292</v>
      </c>
      <c r="E12" s="108"/>
      <c r="G12" s="17">
        <f t="shared" si="0"/>
        <v>944292</v>
      </c>
      <c r="H12" s="108"/>
      <c r="I12" s="108"/>
      <c r="J12" s="108"/>
      <c r="K12" s="108"/>
      <c r="L12" s="108"/>
      <c r="M12" s="108"/>
      <c r="N12" s="108"/>
      <c r="O12" s="108"/>
      <c r="Q12" s="6"/>
      <c r="S12" s="91"/>
    </row>
    <row r="13" spans="1:22" ht="15.75" thickBot="1" x14ac:dyDescent="0.3">
      <c r="A13" s="4" t="s">
        <v>6</v>
      </c>
      <c r="B13" s="17">
        <f>'General Fund'!M12</f>
        <v>651445.80000000005</v>
      </c>
      <c r="C13" s="17">
        <f>'Capital Projects Fund'!H10</f>
        <v>0</v>
      </c>
      <c r="D13" s="17">
        <f>'Human Services'!I11</f>
        <v>91749.53</v>
      </c>
      <c r="E13" s="108"/>
      <c r="F13" s="199">
        <f>'Other Government'!AI10</f>
        <v>27397.690000000002</v>
      </c>
      <c r="G13" s="17">
        <f t="shared" si="0"/>
        <v>770593.02</v>
      </c>
      <c r="H13" s="108"/>
      <c r="I13" s="108"/>
      <c r="J13" s="108"/>
      <c r="K13" s="108"/>
      <c r="L13" s="108"/>
      <c r="M13" s="108"/>
      <c r="N13" s="108"/>
      <c r="O13" s="108"/>
      <c r="P13" s="43">
        <f t="shared" si="1"/>
        <v>0</v>
      </c>
      <c r="Q13" s="6">
        <f t="shared" si="2"/>
        <v>770593.02</v>
      </c>
      <c r="S13" s="91">
        <f t="shared" si="3"/>
        <v>770593.02</v>
      </c>
    </row>
    <row r="14" spans="1:22" ht="15.75" thickBot="1" x14ac:dyDescent="0.3">
      <c r="A14" s="4" t="s">
        <v>5</v>
      </c>
      <c r="B14" s="17">
        <f>'General Fund'!M13</f>
        <v>78239.87</v>
      </c>
      <c r="C14" s="17">
        <f>'Capital Projects Fund'!H11</f>
        <v>0</v>
      </c>
      <c r="D14" s="199">
        <f>'Human Services'!I12</f>
        <v>1650959.0900000003</v>
      </c>
      <c r="E14" s="108">
        <v>2490146.37</v>
      </c>
      <c r="F14" s="199">
        <f>'Other Government'!AI11</f>
        <v>553694.96</v>
      </c>
      <c r="G14" s="17">
        <f t="shared" si="0"/>
        <v>4773040.29</v>
      </c>
      <c r="H14" s="108"/>
      <c r="I14" s="108"/>
      <c r="J14" s="108"/>
      <c r="K14" s="108"/>
      <c r="L14" s="108"/>
      <c r="M14" s="108"/>
      <c r="N14" s="108"/>
      <c r="O14" s="108"/>
      <c r="P14" s="43">
        <f t="shared" si="1"/>
        <v>0</v>
      </c>
      <c r="Q14" s="6">
        <f t="shared" si="2"/>
        <v>4773040.29</v>
      </c>
      <c r="S14" s="91">
        <f t="shared" si="3"/>
        <v>4773040.29</v>
      </c>
    </row>
    <row r="15" spans="1:22" ht="15.75" thickBot="1" x14ac:dyDescent="0.3">
      <c r="A15" s="4" t="s">
        <v>373</v>
      </c>
      <c r="B15" s="17">
        <f>'General Fund'!M14</f>
        <v>0</v>
      </c>
      <c r="C15" s="17">
        <f>'Capital Projects Fund'!H12</f>
        <v>0</v>
      </c>
      <c r="D15" s="17">
        <f>'Human Services'!I13</f>
        <v>-2</v>
      </c>
      <c r="E15" s="108"/>
      <c r="F15" s="199">
        <f>'Other Government'!AI12</f>
        <v>72415.11</v>
      </c>
      <c r="G15" s="17">
        <f t="shared" si="0"/>
        <v>72413.11</v>
      </c>
      <c r="H15" s="108"/>
      <c r="I15" s="108"/>
      <c r="J15" s="108"/>
      <c r="K15" s="108"/>
      <c r="L15" s="108"/>
      <c r="M15" s="108">
        <v>1086891.81</v>
      </c>
      <c r="N15" s="108"/>
      <c r="O15" s="108">
        <f>24911364.9+35615</f>
        <v>24946979.899999999</v>
      </c>
      <c r="P15" s="43">
        <f t="shared" si="1"/>
        <v>26033871.709999997</v>
      </c>
      <c r="Q15" s="6">
        <f t="shared" si="2"/>
        <v>26106284.819999997</v>
      </c>
      <c r="R15" s="57"/>
      <c r="S15" s="91">
        <f t="shared" si="3"/>
        <v>26106284.819999997</v>
      </c>
    </row>
    <row r="16" spans="1:22" ht="15.75" thickBot="1" x14ac:dyDescent="0.3">
      <c r="A16" s="4" t="s">
        <v>194</v>
      </c>
      <c r="B16" s="17"/>
      <c r="C16" s="17">
        <f>'Capital Projects Fund'!H13</f>
        <v>0</v>
      </c>
      <c r="E16" s="108"/>
      <c r="G16" s="17">
        <f t="shared" si="0"/>
        <v>0</v>
      </c>
      <c r="H16" s="108"/>
      <c r="I16" s="108"/>
      <c r="J16" s="108"/>
      <c r="K16" s="108"/>
      <c r="L16" s="108"/>
      <c r="M16" s="108"/>
      <c r="N16" s="108"/>
      <c r="O16" s="108"/>
      <c r="P16" s="43">
        <f t="shared" si="1"/>
        <v>0</v>
      </c>
      <c r="Q16" s="6">
        <f t="shared" si="2"/>
        <v>0</v>
      </c>
      <c r="S16" s="91">
        <f t="shared" si="3"/>
        <v>0</v>
      </c>
    </row>
    <row r="17" spans="1:20" ht="15.75" thickBot="1" x14ac:dyDescent="0.3">
      <c r="A17" s="4" t="s">
        <v>195</v>
      </c>
      <c r="B17" s="17"/>
      <c r="C17" s="108"/>
      <c r="E17" s="108"/>
      <c r="G17" s="17">
        <f t="shared" si="0"/>
        <v>0</v>
      </c>
      <c r="H17" s="108"/>
      <c r="I17" s="108"/>
      <c r="J17" s="108"/>
      <c r="K17" s="108"/>
      <c r="L17" s="108"/>
      <c r="M17" s="108"/>
      <c r="N17" s="108"/>
      <c r="O17" s="108"/>
      <c r="P17" s="43">
        <f t="shared" si="1"/>
        <v>0</v>
      </c>
      <c r="Q17" s="6">
        <f t="shared" si="2"/>
        <v>0</v>
      </c>
      <c r="S17" s="91">
        <f t="shared" si="3"/>
        <v>0</v>
      </c>
    </row>
    <row r="18" spans="1:20" x14ac:dyDescent="0.25">
      <c r="A18" s="4" t="s">
        <v>196</v>
      </c>
      <c r="B18" s="17"/>
      <c r="C18" s="172"/>
      <c r="E18" s="172"/>
      <c r="G18" s="17">
        <f t="shared" si="0"/>
        <v>0</v>
      </c>
      <c r="H18" s="108"/>
      <c r="I18" s="108"/>
      <c r="J18" s="108"/>
      <c r="K18" s="108"/>
      <c r="L18" s="108"/>
      <c r="M18" s="108"/>
      <c r="N18" s="108"/>
      <c r="O18" s="108"/>
      <c r="P18" s="43">
        <f t="shared" si="1"/>
        <v>0</v>
      </c>
      <c r="Q18" s="6">
        <f t="shared" si="2"/>
        <v>0</v>
      </c>
      <c r="R18" s="6"/>
      <c r="S18" s="92">
        <f t="shared" si="3"/>
        <v>0</v>
      </c>
    </row>
    <row r="19" spans="1:20" s="97" customFormat="1" ht="15.75" thickBot="1" x14ac:dyDescent="0.3">
      <c r="A19" s="93" t="s">
        <v>7</v>
      </c>
      <c r="B19" s="95">
        <f>'General Fund'!M15</f>
        <v>10385016.91</v>
      </c>
      <c r="C19" s="95">
        <f>'Capital Projects Fund'!H14</f>
        <v>-139518</v>
      </c>
      <c r="D19" s="95">
        <f>'Human Services'!I14</f>
        <v>3669133.24</v>
      </c>
      <c r="E19" s="95">
        <f>SUM(E8:E18)</f>
        <v>917625.02</v>
      </c>
      <c r="F19" s="95">
        <f>'Other Government'!AI13</f>
        <v>6072417.8500000015</v>
      </c>
      <c r="G19" s="96">
        <f t="shared" si="0"/>
        <v>20904675.020000003</v>
      </c>
      <c r="H19" s="95">
        <f>SUM(H8:H18)</f>
        <v>59247146.140000001</v>
      </c>
      <c r="I19" s="95">
        <f t="shared" ref="I19:R19" si="4">SUM(I8:I18)</f>
        <v>45122.04</v>
      </c>
      <c r="J19" s="95">
        <f t="shared" si="4"/>
        <v>77818.399999999994</v>
      </c>
      <c r="K19" s="95">
        <f t="shared" si="4"/>
        <v>4431.51</v>
      </c>
      <c r="L19" s="95">
        <f t="shared" si="4"/>
        <v>100750.59</v>
      </c>
      <c r="M19" s="95">
        <f t="shared" si="4"/>
        <v>1111374.29</v>
      </c>
      <c r="N19" s="95"/>
      <c r="O19" s="95">
        <f t="shared" si="4"/>
        <v>24946979.899999999</v>
      </c>
      <c r="P19" s="95">
        <f t="shared" si="4"/>
        <v>85606528.670000002</v>
      </c>
      <c r="Q19" s="95">
        <f t="shared" si="4"/>
        <v>105566911.69</v>
      </c>
      <c r="R19" s="197">
        <f t="shared" si="4"/>
        <v>8444804.1199999992</v>
      </c>
      <c r="S19" s="171">
        <f t="shared" si="3"/>
        <v>114011715.81</v>
      </c>
      <c r="T19" s="97" t="s">
        <v>389</v>
      </c>
    </row>
    <row r="20" spans="1:20" x14ac:dyDescent="0.25">
      <c r="A20" s="6"/>
      <c r="R20" s="57"/>
      <c r="S20" s="196"/>
      <c r="T20" s="6">
        <f>'[1]Major fund 2019'!$C$112</f>
        <v>114685329.14</v>
      </c>
    </row>
    <row r="21" spans="1:20" ht="15.75" thickBot="1" x14ac:dyDescent="0.3">
      <c r="A21" s="3" t="s">
        <v>8</v>
      </c>
    </row>
    <row r="22" spans="1:20" ht="15.75" thickBot="1" x14ac:dyDescent="0.3">
      <c r="A22" s="4" t="s">
        <v>9</v>
      </c>
      <c r="B22" s="199">
        <f>'General Fund'!M18</f>
        <v>1159047.97</v>
      </c>
      <c r="C22" s="17">
        <f>'Capital Projects Fund'!H17</f>
        <v>0</v>
      </c>
      <c r="D22" s="17">
        <f>'Human Services'!I17</f>
        <v>985392.95000000019</v>
      </c>
      <c r="E22" s="108">
        <v>707350.58</v>
      </c>
      <c r="F22" s="17">
        <f>'Other Government'!AI16</f>
        <v>626634.68999999994</v>
      </c>
      <c r="G22" s="6">
        <f>SUM(B22:F22)</f>
        <v>3478426.19</v>
      </c>
      <c r="H22" s="108"/>
      <c r="I22" s="108"/>
      <c r="J22" s="108">
        <v>77818.399999999994</v>
      </c>
      <c r="K22" s="108">
        <v>4799.08</v>
      </c>
      <c r="L22" s="108">
        <v>78087.929999999993</v>
      </c>
      <c r="M22" s="108">
        <f>8522+52055</f>
        <v>60577</v>
      </c>
      <c r="N22" s="108"/>
      <c r="O22" s="108"/>
      <c r="P22" s="43">
        <f>SUM(H22:O22)</f>
        <v>221282.40999999997</v>
      </c>
      <c r="Q22" s="6">
        <f>G22+P22</f>
        <v>3699708.6</v>
      </c>
      <c r="R22" s="43"/>
      <c r="S22" s="91">
        <f>Q22+R22</f>
        <v>3699708.6</v>
      </c>
    </row>
    <row r="23" spans="1:20" ht="15.75" thickBot="1" x14ac:dyDescent="0.3">
      <c r="A23" s="4" t="s">
        <v>10</v>
      </c>
      <c r="B23" s="6">
        <f>'General Fund'!M19</f>
        <v>352732.09</v>
      </c>
      <c r="C23" s="17">
        <f>'Capital Projects Fund'!H18</f>
        <v>0</v>
      </c>
      <c r="D23" s="17">
        <f>'Human Services'!I18</f>
        <v>334225.68</v>
      </c>
      <c r="E23" s="108">
        <v>17303.150000000001</v>
      </c>
      <c r="F23" s="17">
        <f>'Other Government'!AI17</f>
        <v>44122.01</v>
      </c>
      <c r="G23" s="6">
        <f>SUM(B23:F23)</f>
        <v>748382.93</v>
      </c>
      <c r="H23" s="108"/>
      <c r="I23" s="108"/>
      <c r="J23" s="108"/>
      <c r="K23" s="108"/>
      <c r="L23" s="108"/>
      <c r="M23" s="108">
        <v>10021.450000000001</v>
      </c>
      <c r="N23" s="108"/>
      <c r="O23" s="108"/>
      <c r="P23" s="43">
        <f>SUM(H23:O23)</f>
        <v>10021.450000000001</v>
      </c>
      <c r="Q23" s="6">
        <f>G23+P23</f>
        <v>758404.38</v>
      </c>
      <c r="R23" s="43"/>
      <c r="S23" s="91">
        <f>Q23+R23</f>
        <v>758404.38</v>
      </c>
    </row>
    <row r="24" spans="1:20" ht="15.75" thickBot="1" x14ac:dyDescent="0.3">
      <c r="A24" s="4" t="s">
        <v>190</v>
      </c>
      <c r="B24" s="199">
        <f>'General Fund'!M20</f>
        <v>101133.21</v>
      </c>
      <c r="D24" s="17">
        <f>'Human Services'!I19</f>
        <v>160355</v>
      </c>
      <c r="E24" s="108"/>
      <c r="F24" s="17">
        <f>'Other Government'!AI18</f>
        <v>0</v>
      </c>
      <c r="G24" s="6">
        <f>SUM(B24:F24)</f>
        <v>261488.21000000002</v>
      </c>
      <c r="H24" s="108"/>
      <c r="I24" s="108">
        <v>45122.04</v>
      </c>
      <c r="J24" s="108"/>
      <c r="K24" s="108"/>
      <c r="L24" s="108"/>
      <c r="M24" s="108"/>
      <c r="N24" s="108"/>
      <c r="O24" s="108"/>
      <c r="P24" s="43">
        <f>SUM(H24:O24)</f>
        <v>45122.04</v>
      </c>
      <c r="Q24" s="6">
        <f>G24+P24</f>
        <v>306610.25</v>
      </c>
      <c r="R24" s="43">
        <v>8444804.1199999992</v>
      </c>
      <c r="S24" s="91">
        <f>Q24+R24</f>
        <v>8751414.3699999992</v>
      </c>
    </row>
    <row r="25" spans="1:20" ht="15.75" thickBot="1" x14ac:dyDescent="0.3">
      <c r="A25" s="4" t="s">
        <v>11</v>
      </c>
      <c r="B25" s="6">
        <f>'General Fund'!M21</f>
        <v>23285.990000000049</v>
      </c>
      <c r="C25" s="17">
        <f>'Capital Projects Fund'!H19</f>
        <v>0</v>
      </c>
      <c r="D25" s="17">
        <f>'Human Services'!I20</f>
        <v>0</v>
      </c>
      <c r="E25" s="108"/>
      <c r="F25" s="17">
        <f>'Other Government'!AI19</f>
        <v>0</v>
      </c>
      <c r="G25" s="6">
        <f>SUM(B25:F25)</f>
        <v>23285.990000000049</v>
      </c>
      <c r="H25" s="108"/>
      <c r="I25" s="108"/>
      <c r="J25" s="108"/>
      <c r="K25" s="108"/>
      <c r="L25" s="108"/>
      <c r="M25" s="108"/>
      <c r="N25" s="108"/>
      <c r="O25" s="108"/>
      <c r="P25" s="43">
        <f>SUM(H25:O25)</f>
        <v>0</v>
      </c>
      <c r="Q25" s="6">
        <f>G25+P25</f>
        <v>23285.990000000049</v>
      </c>
      <c r="R25" s="43"/>
      <c r="S25" s="91">
        <f>Q25+R25</f>
        <v>23285.990000000049</v>
      </c>
    </row>
    <row r="26" spans="1:20" x14ac:dyDescent="0.25">
      <c r="A26" s="4" t="s">
        <v>12</v>
      </c>
      <c r="B26" s="6">
        <f>'General Fund'!M22</f>
        <v>288286.35999999987</v>
      </c>
      <c r="C26" s="17">
        <f>'Capital Projects Fund'!H20</f>
        <v>0</v>
      </c>
      <c r="D26" s="17">
        <f>'Human Services'!I21</f>
        <v>1843751.8599999999</v>
      </c>
      <c r="E26" s="108">
        <f>192978.44-7.15</f>
        <v>192971.29</v>
      </c>
      <c r="F26" s="17">
        <f>'Other Government'!AI20</f>
        <v>1375874.84</v>
      </c>
      <c r="G26" s="6">
        <f>SUM(B26:F26)</f>
        <v>3700884.3499999996</v>
      </c>
      <c r="H26" s="108"/>
      <c r="I26" s="108"/>
      <c r="J26" s="108"/>
      <c r="K26" s="108"/>
      <c r="L26" s="108"/>
      <c r="M26" s="108">
        <v>294695.78000000003</v>
      </c>
      <c r="N26" s="108"/>
      <c r="O26" s="108"/>
      <c r="P26" s="43">
        <f>SUM(H26:O26)</f>
        <v>294695.78000000003</v>
      </c>
      <c r="Q26" s="6">
        <f>G26+P26</f>
        <v>3995580.13</v>
      </c>
      <c r="R26" s="43"/>
      <c r="S26" s="92">
        <f>Q26+R26</f>
        <v>3995580.13</v>
      </c>
    </row>
    <row r="27" spans="1:20" x14ac:dyDescent="0.25">
      <c r="A27" s="2" t="s">
        <v>13</v>
      </c>
      <c r="B27" s="6">
        <f>'General Fund'!M23</f>
        <v>1924485.62</v>
      </c>
      <c r="C27" s="17">
        <f>'Capital Projects Fund'!H21</f>
        <v>0</v>
      </c>
      <c r="D27" s="17">
        <f>'Human Services'!I22</f>
        <v>3323725.4899999998</v>
      </c>
      <c r="E27" s="17">
        <f>SUM(E22:E26)</f>
        <v>917625.02</v>
      </c>
      <c r="F27" s="17">
        <f>'Other Government'!AI21</f>
        <v>2046631.5399999998</v>
      </c>
      <c r="G27" s="6">
        <f>SUM(G22:G26)</f>
        <v>8212467.6699999999</v>
      </c>
      <c r="H27" s="94">
        <f>SUM(H22:H26)</f>
        <v>0</v>
      </c>
      <c r="I27" s="94">
        <f t="shared" ref="I27:R27" si="5">SUM(I22:I26)</f>
        <v>45122.04</v>
      </c>
      <c r="J27" s="94">
        <f t="shared" si="5"/>
        <v>77818.399999999994</v>
      </c>
      <c r="K27" s="94">
        <f t="shared" si="5"/>
        <v>4799.08</v>
      </c>
      <c r="L27" s="94">
        <f t="shared" si="5"/>
        <v>78087.929999999993</v>
      </c>
      <c r="M27" s="94">
        <f t="shared" si="5"/>
        <v>365294.23000000004</v>
      </c>
      <c r="N27" s="94"/>
      <c r="O27" s="94">
        <f t="shared" si="5"/>
        <v>0</v>
      </c>
      <c r="P27" s="94">
        <f t="shared" si="5"/>
        <v>571121.67999999993</v>
      </c>
      <c r="Q27" s="94">
        <f t="shared" si="5"/>
        <v>8783589.3500000015</v>
      </c>
      <c r="R27" s="94">
        <f t="shared" si="5"/>
        <v>8444804.1199999992</v>
      </c>
      <c r="S27" s="95">
        <f>SUM(S22:S26)</f>
        <v>17228393.469999999</v>
      </c>
      <c r="T27" t="s">
        <v>389</v>
      </c>
    </row>
    <row r="28" spans="1:20" x14ac:dyDescent="0.25">
      <c r="T28" s="43">
        <f>'[1]Major fund 2019'!$D$112</f>
        <v>18826888.75</v>
      </c>
    </row>
    <row r="29" spans="1:20" x14ac:dyDescent="0.25">
      <c r="A29" s="67" t="s">
        <v>347</v>
      </c>
    </row>
    <row r="30" spans="1:20" x14ac:dyDescent="0.25">
      <c r="A30" t="s">
        <v>355</v>
      </c>
      <c r="B30" s="6">
        <f>'General Fund'!M26</f>
        <v>1459235</v>
      </c>
      <c r="C30" s="17">
        <f>'Capital Projects Fund'!H24</f>
        <v>0</v>
      </c>
      <c r="E30" s="108"/>
      <c r="G30" s="6">
        <f>SUM(B30:F30)</f>
        <v>1459235</v>
      </c>
    </row>
    <row r="31" spans="1:20" x14ac:dyDescent="0.25">
      <c r="A31" t="s">
        <v>395</v>
      </c>
      <c r="B31" s="6">
        <f>'General Fund'!M27</f>
        <v>0</v>
      </c>
      <c r="C31" s="17">
        <f>'Capital Projects Fund'!H25</f>
        <v>0</v>
      </c>
      <c r="E31" s="108"/>
      <c r="G31" s="6">
        <f>SUM(B31:F31)</f>
        <v>0</v>
      </c>
    </row>
    <row r="32" spans="1:20" x14ac:dyDescent="0.25">
      <c r="A32" s="66" t="s">
        <v>350</v>
      </c>
      <c r="B32" s="6">
        <f>SUM(B30:B31)</f>
        <v>1459235</v>
      </c>
      <c r="C32" s="17">
        <f>'Capital Projects Fund'!H26</f>
        <v>0</v>
      </c>
      <c r="E32" s="17">
        <f>SUM(E30:E31)</f>
        <v>0</v>
      </c>
      <c r="G32" s="6">
        <f>SUM(B32:F32)</f>
        <v>1459235</v>
      </c>
    </row>
    <row r="34" spans="1:19" x14ac:dyDescent="0.25">
      <c r="A34" s="3" t="s">
        <v>14</v>
      </c>
    </row>
    <row r="35" spans="1:19" x14ac:dyDescent="0.25">
      <c r="A35" s="82" t="s">
        <v>15</v>
      </c>
      <c r="B35" s="6">
        <f>'General Fund'!M32</f>
        <v>0</v>
      </c>
      <c r="C35" s="17">
        <f>'Capital Projects Fund'!H29</f>
        <v>0</v>
      </c>
      <c r="E35" s="108"/>
      <c r="F35" s="17">
        <f>'Other Government'!AI25</f>
        <v>0</v>
      </c>
      <c r="G35" s="6">
        <f>SUM(B35:F35)</f>
        <v>0</v>
      </c>
      <c r="O35" s="108"/>
      <c r="P35" s="43">
        <f t="shared" ref="P35:P58" si="6">SUM(H35:O35)</f>
        <v>0</v>
      </c>
      <c r="Q35" s="6">
        <f t="shared" ref="Q35:Q49" si="7">G35+P35</f>
        <v>0</v>
      </c>
      <c r="S35" s="6">
        <f t="shared" ref="S35:S49" si="8">Q35+R35</f>
        <v>0</v>
      </c>
    </row>
    <row r="36" spans="1:19" x14ac:dyDescent="0.25">
      <c r="A36" s="4" t="s">
        <v>332</v>
      </c>
      <c r="B36" s="6">
        <f>'General Fund'!M33</f>
        <v>1514421.05</v>
      </c>
      <c r="E36" s="108"/>
      <c r="G36" s="6">
        <f t="shared" ref="G36:G58" si="9">SUM(B36:F36)</f>
        <v>1514421.05</v>
      </c>
      <c r="P36" s="43">
        <f t="shared" si="6"/>
        <v>0</v>
      </c>
      <c r="Q36" s="6">
        <f t="shared" si="7"/>
        <v>1514421.05</v>
      </c>
      <c r="S36" s="6">
        <f t="shared" si="8"/>
        <v>1514421.05</v>
      </c>
    </row>
    <row r="37" spans="1:19" x14ac:dyDescent="0.25">
      <c r="A37" s="4" t="s">
        <v>162</v>
      </c>
      <c r="D37" s="17">
        <f>'Human Services'!I28-'Substance Abuse'!I28</f>
        <v>50214.349999999977</v>
      </c>
      <c r="E37" s="108"/>
      <c r="F37" s="17">
        <f>'Other Government'!AI26</f>
        <v>40213.879999999997</v>
      </c>
      <c r="G37" s="6">
        <f t="shared" si="9"/>
        <v>90428.229999999981</v>
      </c>
      <c r="P37" s="43">
        <f t="shared" si="6"/>
        <v>0</v>
      </c>
      <c r="Q37" s="6">
        <f t="shared" si="7"/>
        <v>90428.229999999981</v>
      </c>
      <c r="S37" s="6">
        <f t="shared" si="8"/>
        <v>90428.229999999981</v>
      </c>
    </row>
    <row r="38" spans="1:19" x14ac:dyDescent="0.25">
      <c r="A38" s="4" t="s">
        <v>333</v>
      </c>
      <c r="E38" s="108"/>
      <c r="F38" s="17">
        <f>'Other Government'!AI27</f>
        <v>1390654.04</v>
      </c>
      <c r="G38" s="6">
        <f t="shared" si="9"/>
        <v>1390654.04</v>
      </c>
      <c r="P38" s="43">
        <f t="shared" si="6"/>
        <v>0</v>
      </c>
      <c r="Q38" s="6">
        <f t="shared" si="7"/>
        <v>1390654.04</v>
      </c>
      <c r="S38" s="6">
        <f t="shared" si="8"/>
        <v>1390654.04</v>
      </c>
    </row>
    <row r="39" spans="1:19" x14ac:dyDescent="0.25">
      <c r="A39" s="4" t="s">
        <v>334</v>
      </c>
      <c r="E39" s="108"/>
      <c r="F39" s="17">
        <f>'Other Government'!AI28</f>
        <v>24635.57</v>
      </c>
      <c r="G39" s="6">
        <f t="shared" si="9"/>
        <v>24635.57</v>
      </c>
      <c r="P39" s="43">
        <f t="shared" si="6"/>
        <v>0</v>
      </c>
      <c r="Q39" s="6">
        <f t="shared" si="7"/>
        <v>24635.57</v>
      </c>
      <c r="S39" s="6">
        <f t="shared" si="8"/>
        <v>24635.57</v>
      </c>
    </row>
    <row r="40" spans="1:19" x14ac:dyDescent="0.25">
      <c r="A40" s="4" t="s">
        <v>506</v>
      </c>
      <c r="E40" s="108"/>
      <c r="F40" s="203">
        <f>'Other Government'!AI29</f>
        <v>86115.23</v>
      </c>
      <c r="G40" s="6">
        <f t="shared" si="9"/>
        <v>86115.23</v>
      </c>
      <c r="Q40" s="6"/>
      <c r="S40" s="6"/>
    </row>
    <row r="41" spans="1:19" x14ac:dyDescent="0.25">
      <c r="A41" s="4">
        <v>911</v>
      </c>
      <c r="E41" s="108"/>
      <c r="F41" s="203">
        <f>'Other Government'!AI30</f>
        <v>88647.51</v>
      </c>
      <c r="G41" s="6">
        <f t="shared" si="9"/>
        <v>88647.51</v>
      </c>
      <c r="Q41" s="6"/>
      <c r="S41" s="6"/>
    </row>
    <row r="42" spans="1:19" x14ac:dyDescent="0.25">
      <c r="A42" s="4" t="s">
        <v>335</v>
      </c>
      <c r="E42" s="108"/>
      <c r="F42" s="17">
        <f>'Other Government'!AI31</f>
        <v>339366.45</v>
      </c>
      <c r="G42" s="6">
        <f t="shared" si="9"/>
        <v>339366.45</v>
      </c>
      <c r="P42" s="43">
        <f t="shared" si="6"/>
        <v>0</v>
      </c>
      <c r="Q42" s="6">
        <f t="shared" si="7"/>
        <v>339366.45</v>
      </c>
      <c r="S42" s="6">
        <f t="shared" si="8"/>
        <v>339366.45</v>
      </c>
    </row>
    <row r="43" spans="1:19" x14ac:dyDescent="0.25">
      <c r="A43" s="4" t="s">
        <v>336</v>
      </c>
      <c r="E43" s="108"/>
      <c r="F43" s="17">
        <f>'Other Government'!AI32</f>
        <v>311308.31</v>
      </c>
      <c r="G43" s="6">
        <f t="shared" si="9"/>
        <v>311308.31</v>
      </c>
      <c r="P43" s="43">
        <f t="shared" si="6"/>
        <v>0</v>
      </c>
      <c r="Q43" s="6">
        <f t="shared" si="7"/>
        <v>311308.31</v>
      </c>
      <c r="S43" s="6">
        <f t="shared" si="8"/>
        <v>311308.31</v>
      </c>
    </row>
    <row r="44" spans="1:19" x14ac:dyDescent="0.25">
      <c r="A44" s="4" t="s">
        <v>337</v>
      </c>
      <c r="E44" s="108"/>
      <c r="F44" s="17">
        <f>'Other Government'!AI33</f>
        <v>485843.37</v>
      </c>
      <c r="G44" s="6">
        <f t="shared" si="9"/>
        <v>485843.37</v>
      </c>
      <c r="P44" s="43">
        <f t="shared" si="6"/>
        <v>0</v>
      </c>
      <c r="Q44" s="6">
        <f t="shared" si="7"/>
        <v>485843.37</v>
      </c>
      <c r="S44" s="6">
        <f t="shared" si="8"/>
        <v>485843.37</v>
      </c>
    </row>
    <row r="45" spans="1:19" x14ac:dyDescent="0.25">
      <c r="A45" s="4" t="s">
        <v>503</v>
      </c>
      <c r="E45" s="108"/>
      <c r="F45" s="203">
        <f>'Other Government'!AI34</f>
        <v>9321.9599999999991</v>
      </c>
      <c r="G45" s="6">
        <f t="shared" si="9"/>
        <v>9321.9599999999991</v>
      </c>
      <c r="Q45" s="6"/>
      <c r="S45" s="6"/>
    </row>
    <row r="46" spans="1:19" x14ac:dyDescent="0.25">
      <c r="A46" s="4" t="s">
        <v>338</v>
      </c>
      <c r="E46" s="108"/>
      <c r="F46" s="17">
        <f>'Other Government'!AI35</f>
        <v>53324.049999999996</v>
      </c>
      <c r="G46" s="6">
        <f t="shared" si="9"/>
        <v>53324.049999999996</v>
      </c>
      <c r="P46" s="43">
        <f t="shared" si="6"/>
        <v>0</v>
      </c>
      <c r="Q46" s="6">
        <f t="shared" si="7"/>
        <v>53324.049999999996</v>
      </c>
      <c r="S46" s="6">
        <f t="shared" si="8"/>
        <v>53324.049999999996</v>
      </c>
    </row>
    <row r="47" spans="1:19" x14ac:dyDescent="0.25">
      <c r="A47" s="4" t="s">
        <v>339</v>
      </c>
      <c r="E47" s="108"/>
      <c r="F47" s="17">
        <f>'Other Government'!AI36</f>
        <v>136670.46</v>
      </c>
      <c r="G47" s="6">
        <f t="shared" si="9"/>
        <v>136670.46</v>
      </c>
      <c r="P47" s="43">
        <f t="shared" si="6"/>
        <v>0</v>
      </c>
      <c r="Q47" s="6">
        <f t="shared" si="7"/>
        <v>136670.46</v>
      </c>
      <c r="S47" s="6">
        <f t="shared" si="8"/>
        <v>136670.46</v>
      </c>
    </row>
    <row r="48" spans="1:19" x14ac:dyDescent="0.25">
      <c r="A48" s="4" t="s">
        <v>504</v>
      </c>
      <c r="E48" s="108"/>
      <c r="F48" s="203">
        <f>'Other Government'!AI37</f>
        <v>11261.01</v>
      </c>
      <c r="G48" s="6">
        <f t="shared" si="9"/>
        <v>11261.01</v>
      </c>
      <c r="Q48" s="6"/>
      <c r="S48" s="6"/>
    </row>
    <row r="49" spans="1:20" x14ac:dyDescent="0.25">
      <c r="A49" s="4" t="s">
        <v>363</v>
      </c>
      <c r="E49" s="108"/>
      <c r="F49" s="17">
        <f>'Other Government'!AI38</f>
        <v>872603.24</v>
      </c>
      <c r="G49" s="6">
        <f t="shared" si="9"/>
        <v>872603.24</v>
      </c>
      <c r="P49" s="43">
        <f t="shared" si="6"/>
        <v>0</v>
      </c>
      <c r="Q49" s="6">
        <f t="shared" si="7"/>
        <v>872603.24</v>
      </c>
      <c r="S49" s="6">
        <f t="shared" si="8"/>
        <v>872603.24</v>
      </c>
    </row>
    <row r="50" spans="1:20" x14ac:dyDescent="0.25">
      <c r="A50" s="4" t="s">
        <v>505</v>
      </c>
      <c r="E50" s="108"/>
      <c r="F50" s="203">
        <f>'Other Government'!AI39</f>
        <v>43126.07</v>
      </c>
      <c r="G50" s="6">
        <f t="shared" si="9"/>
        <v>43126.07</v>
      </c>
      <c r="P50" s="43">
        <f>SUM(H50:O50)</f>
        <v>0</v>
      </c>
      <c r="Q50" s="6">
        <f>G50+P50</f>
        <v>43126.07</v>
      </c>
      <c r="S50" s="6">
        <f>Q50+R50</f>
        <v>43126.07</v>
      </c>
    </row>
    <row r="51" spans="1:20" x14ac:dyDescent="0.25">
      <c r="A51" s="82" t="s">
        <v>365</v>
      </c>
      <c r="E51" s="108"/>
      <c r="F51" s="17">
        <f>'Other Government'!AI40</f>
        <v>0</v>
      </c>
      <c r="G51" s="6">
        <f t="shared" si="9"/>
        <v>0</v>
      </c>
      <c r="P51" s="43">
        <f t="shared" si="6"/>
        <v>0</v>
      </c>
      <c r="Q51" s="6">
        <f t="shared" ref="Q51:Q58" si="10">G51+P51</f>
        <v>0</v>
      </c>
      <c r="S51" s="6">
        <f t="shared" ref="S51:S58" si="11">Q51+R51</f>
        <v>0</v>
      </c>
    </row>
    <row r="52" spans="1:20" x14ac:dyDescent="0.25">
      <c r="A52" s="4" t="s">
        <v>202</v>
      </c>
      <c r="E52" s="108"/>
      <c r="F52" s="17">
        <f>'Other Government'!AI41</f>
        <v>0</v>
      </c>
      <c r="G52" s="6">
        <f t="shared" si="9"/>
        <v>0</v>
      </c>
      <c r="P52" s="43">
        <f t="shared" si="6"/>
        <v>0</v>
      </c>
      <c r="Q52" s="6">
        <f t="shared" si="10"/>
        <v>0</v>
      </c>
      <c r="S52" s="6">
        <f t="shared" si="11"/>
        <v>0</v>
      </c>
    </row>
    <row r="53" spans="1:20" x14ac:dyDescent="0.25">
      <c r="A53" s="4" t="s">
        <v>343</v>
      </c>
      <c r="D53" s="17">
        <f>'Substance Abuse'!I27</f>
        <v>295193.39999999997</v>
      </c>
      <c r="E53" s="108"/>
      <c r="F53" s="17">
        <f>'Other Government'!AI42</f>
        <v>0</v>
      </c>
      <c r="G53" s="6">
        <f t="shared" si="9"/>
        <v>295193.39999999997</v>
      </c>
      <c r="P53" s="43">
        <f t="shared" si="6"/>
        <v>0</v>
      </c>
      <c r="Q53" s="6">
        <f t="shared" si="10"/>
        <v>295193.39999999997</v>
      </c>
      <c r="S53" s="6">
        <f t="shared" si="11"/>
        <v>295193.39999999997</v>
      </c>
    </row>
    <row r="54" spans="1:20" x14ac:dyDescent="0.25">
      <c r="A54" s="4" t="s">
        <v>344</v>
      </c>
      <c r="E54" s="108"/>
      <c r="F54" s="17">
        <f>'Other Government'!AI43</f>
        <v>61256.789999999986</v>
      </c>
      <c r="G54" s="6">
        <f t="shared" si="9"/>
        <v>61256.789999999986</v>
      </c>
      <c r="P54" s="43">
        <f t="shared" si="6"/>
        <v>0</v>
      </c>
      <c r="Q54" s="6">
        <f t="shared" si="10"/>
        <v>61256.789999999986</v>
      </c>
      <c r="S54" s="6">
        <f t="shared" si="11"/>
        <v>61256.789999999986</v>
      </c>
    </row>
    <row r="55" spans="1:20" x14ac:dyDescent="0.25">
      <c r="A55" s="4" t="s">
        <v>345</v>
      </c>
      <c r="E55" s="108"/>
      <c r="F55" s="17">
        <f>'Other Government'!AI44</f>
        <v>13183.519999999999</v>
      </c>
      <c r="G55" s="6">
        <f t="shared" si="9"/>
        <v>13183.519999999999</v>
      </c>
      <c r="P55" s="43">
        <f t="shared" si="6"/>
        <v>0</v>
      </c>
      <c r="Q55" s="6">
        <f t="shared" si="10"/>
        <v>13183.519999999999</v>
      </c>
      <c r="S55" s="6">
        <f t="shared" si="11"/>
        <v>13183.519999999999</v>
      </c>
    </row>
    <row r="56" spans="1:20" x14ac:dyDescent="0.25">
      <c r="A56" s="82" t="s">
        <v>16</v>
      </c>
      <c r="B56" s="6">
        <f>'General Fund'!M14</f>
        <v>0</v>
      </c>
      <c r="C56" s="17">
        <f>'Capital Projects Fund'!H30</f>
        <v>0</v>
      </c>
      <c r="D56" s="17">
        <f>'Human Services'!I26</f>
        <v>0</v>
      </c>
      <c r="E56" s="108"/>
      <c r="G56" s="6">
        <f t="shared" si="9"/>
        <v>0</v>
      </c>
      <c r="P56" s="43">
        <f t="shared" si="6"/>
        <v>0</v>
      </c>
      <c r="Q56" s="6">
        <f t="shared" si="10"/>
        <v>0</v>
      </c>
      <c r="S56" s="6">
        <f t="shared" si="11"/>
        <v>0</v>
      </c>
    </row>
    <row r="57" spans="1:20" x14ac:dyDescent="0.25">
      <c r="A57" s="82" t="s">
        <v>17</v>
      </c>
      <c r="B57" s="6">
        <f>'General Fund'!M50</f>
        <v>5486875.2400000002</v>
      </c>
      <c r="C57" s="17">
        <f>'Capital Projects Fund'!H32</f>
        <v>-139518</v>
      </c>
      <c r="E57" s="108">
        <f>-7.15+7.15</f>
        <v>0</v>
      </c>
      <c r="F57" s="17">
        <f>'Other Government'!AI45</f>
        <v>58254.850000000006</v>
      </c>
      <c r="G57" s="6">
        <f t="shared" si="9"/>
        <v>5405612.0899999999</v>
      </c>
      <c r="H57" s="108">
        <v>59247146.140000001</v>
      </c>
      <c r="I57" s="108"/>
      <c r="J57" s="108"/>
      <c r="K57" s="108">
        <v>-367.57</v>
      </c>
      <c r="L57" s="108">
        <f>22662.66</f>
        <v>22662.66</v>
      </c>
      <c r="M57" s="108">
        <f>798135.06-52055</f>
        <v>746080.06</v>
      </c>
      <c r="N57" s="108"/>
      <c r="O57" s="108">
        <f>24911364.9+35615</f>
        <v>24946979.899999999</v>
      </c>
      <c r="P57" s="43">
        <f t="shared" si="6"/>
        <v>84962501.189999998</v>
      </c>
      <c r="Q57" s="6">
        <f t="shared" si="10"/>
        <v>90368113.280000001</v>
      </c>
      <c r="S57" s="6">
        <f t="shared" si="11"/>
        <v>90368113.280000001</v>
      </c>
    </row>
    <row r="58" spans="1:20" x14ac:dyDescent="0.25">
      <c r="A58" s="2" t="s">
        <v>18</v>
      </c>
      <c r="B58" s="6">
        <f>'General Fund'!M51</f>
        <v>7001296.29</v>
      </c>
      <c r="C58" s="17">
        <f>SUM(C35:C57)</f>
        <v>-139518</v>
      </c>
      <c r="D58" s="17">
        <f>'Human Services'!I28</f>
        <v>345407.74999999994</v>
      </c>
      <c r="E58" s="17">
        <f>SUM(E35:E57)</f>
        <v>0</v>
      </c>
      <c r="F58" s="17">
        <f>SUM(F35:F57)</f>
        <v>4025786.3099999991</v>
      </c>
      <c r="G58" s="6">
        <f t="shared" si="9"/>
        <v>11232972.35</v>
      </c>
      <c r="H58" s="98">
        <f>SUM(H35:H57)</f>
        <v>59247146.140000001</v>
      </c>
      <c r="I58" s="98">
        <f t="shared" ref="I58:O58" si="12">SUM(I35:I57)</f>
        <v>0</v>
      </c>
      <c r="J58" s="98">
        <f t="shared" si="12"/>
        <v>0</v>
      </c>
      <c r="K58" s="98">
        <f t="shared" si="12"/>
        <v>-367.57</v>
      </c>
      <c r="L58" s="98">
        <f t="shared" si="12"/>
        <v>22662.66</v>
      </c>
      <c r="M58" s="98">
        <f t="shared" si="12"/>
        <v>746080.06</v>
      </c>
      <c r="N58" s="98"/>
      <c r="O58" s="98">
        <f t="shared" si="12"/>
        <v>24946979.899999999</v>
      </c>
      <c r="P58" s="99">
        <f t="shared" si="6"/>
        <v>84962501.189999998</v>
      </c>
      <c r="Q58" s="94">
        <f t="shared" si="10"/>
        <v>96195473.539999992</v>
      </c>
      <c r="R58" s="97"/>
      <c r="S58" s="95">
        <f t="shared" si="11"/>
        <v>96195473.539999992</v>
      </c>
      <c r="T58" t="s">
        <v>401</v>
      </c>
    </row>
    <row r="59" spans="1:20" x14ac:dyDescent="0.25">
      <c r="T59" s="43">
        <f>'[1]Major fund 2019'!$E$112+'[1]Major fund 2019'!$F$112</f>
        <v>95858440.390000001</v>
      </c>
    </row>
    <row r="60" spans="1:20" x14ac:dyDescent="0.25">
      <c r="A60" s="2" t="s">
        <v>19</v>
      </c>
      <c r="B60" s="6">
        <f>'General Fund'!M53</f>
        <v>10385016.91</v>
      </c>
      <c r="C60" s="17">
        <f>'Capital Projects Fund'!H34</f>
        <v>-139518</v>
      </c>
      <c r="D60" s="17">
        <f>'Human Services'!I30</f>
        <v>3669133.24</v>
      </c>
      <c r="E60" s="17">
        <f>E27+E58+E32</f>
        <v>917625.02</v>
      </c>
      <c r="F60" s="17">
        <f>'Other Government'!AI48</f>
        <v>6072417.8500000015</v>
      </c>
      <c r="G60" s="6">
        <f>SUM(B60:F60)</f>
        <v>20904675.020000003</v>
      </c>
      <c r="H60" s="100">
        <f>H27+H58</f>
        <v>59247146.140000001</v>
      </c>
      <c r="I60" s="100">
        <f t="shared" ref="I60:S60" si="13">I27+I58</f>
        <v>45122.04</v>
      </c>
      <c r="J60" s="100">
        <f t="shared" si="13"/>
        <v>77818.399999999994</v>
      </c>
      <c r="K60" s="100">
        <f t="shared" si="13"/>
        <v>4431.51</v>
      </c>
      <c r="L60" s="100">
        <f t="shared" si="13"/>
        <v>100750.59</v>
      </c>
      <c r="M60" s="100">
        <f t="shared" si="13"/>
        <v>1111374.29</v>
      </c>
      <c r="N60" s="100"/>
      <c r="O60" s="100">
        <f t="shared" si="13"/>
        <v>24946979.899999999</v>
      </c>
      <c r="P60" s="100">
        <f t="shared" si="13"/>
        <v>85533622.870000005</v>
      </c>
      <c r="Q60" s="100">
        <f t="shared" si="13"/>
        <v>104979062.88999999</v>
      </c>
      <c r="R60" s="100">
        <f t="shared" si="13"/>
        <v>8444804.1199999992</v>
      </c>
      <c r="S60" s="100">
        <f t="shared" si="13"/>
        <v>113423867.00999999</v>
      </c>
    </row>
    <row r="61" spans="1:20" x14ac:dyDescent="0.25">
      <c r="B61" s="49" t="str">
        <f t="shared" ref="B61:S61" si="14">IF(B19=B60,"YES","NO")</f>
        <v>YES</v>
      </c>
      <c r="C61" s="49" t="str">
        <f t="shared" si="14"/>
        <v>YES</v>
      </c>
      <c r="D61" s="49" t="str">
        <f t="shared" si="14"/>
        <v>YES</v>
      </c>
      <c r="E61" s="49" t="str">
        <f t="shared" si="14"/>
        <v>YES</v>
      </c>
      <c r="F61" s="53" t="str">
        <f t="shared" si="14"/>
        <v>YES</v>
      </c>
      <c r="G61" s="49" t="str">
        <f t="shared" si="14"/>
        <v>YES</v>
      </c>
      <c r="H61" s="49" t="str">
        <f t="shared" si="14"/>
        <v>YES</v>
      </c>
      <c r="I61" s="49" t="str">
        <f t="shared" si="14"/>
        <v>YES</v>
      </c>
      <c r="J61" s="49" t="str">
        <f t="shared" si="14"/>
        <v>YES</v>
      </c>
      <c r="K61" s="49" t="str">
        <f t="shared" si="14"/>
        <v>YES</v>
      </c>
      <c r="L61" s="49" t="str">
        <f t="shared" si="14"/>
        <v>YES</v>
      </c>
      <c r="M61" s="49" t="str">
        <f t="shared" si="14"/>
        <v>YES</v>
      </c>
      <c r="N61" s="49"/>
      <c r="O61" s="49" t="str">
        <f t="shared" si="14"/>
        <v>YES</v>
      </c>
      <c r="P61" s="49" t="str">
        <f t="shared" si="14"/>
        <v>NO</v>
      </c>
      <c r="Q61" s="49" t="str">
        <f t="shared" si="14"/>
        <v>NO</v>
      </c>
      <c r="R61" s="49" t="str">
        <f t="shared" si="14"/>
        <v>YES</v>
      </c>
      <c r="S61" s="49" t="str">
        <f t="shared" si="14"/>
        <v>NO</v>
      </c>
    </row>
    <row r="62" spans="1:20" x14ac:dyDescent="0.25">
      <c r="A62" s="3" t="s">
        <v>20</v>
      </c>
      <c r="G62" s="17"/>
    </row>
    <row r="63" spans="1:20" x14ac:dyDescent="0.25">
      <c r="A63" t="s">
        <v>199</v>
      </c>
      <c r="B63" s="6">
        <f>'General Fund'!B56</f>
        <v>11755541.029999999</v>
      </c>
      <c r="E63" s="108"/>
      <c r="G63" s="6">
        <f t="shared" ref="G63:G71" si="15">SUM(B63:F63)</f>
        <v>11755541.029999999</v>
      </c>
      <c r="H63" s="108"/>
      <c r="I63" s="108"/>
      <c r="J63" s="108"/>
      <c r="K63" s="108"/>
      <c r="L63" s="108"/>
      <c r="M63" s="108"/>
      <c r="N63" s="108"/>
      <c r="O63" s="108"/>
      <c r="P63" s="43">
        <f t="shared" ref="P63:P69" si="16">SUM(H63:O63)</f>
        <v>0</v>
      </c>
      <c r="Q63" s="6">
        <f t="shared" ref="Q63:Q69" si="17">G63+P63</f>
        <v>11755541.029999999</v>
      </c>
      <c r="S63" s="6">
        <f t="shared" ref="S63:S69" si="18">Q63+R63</f>
        <v>11755541.029999999</v>
      </c>
    </row>
    <row r="64" spans="1:20" x14ac:dyDescent="0.25">
      <c r="A64" t="s">
        <v>200</v>
      </c>
      <c r="B64" s="6">
        <f>'General Fund'!B57</f>
        <v>49720</v>
      </c>
      <c r="E64" s="108"/>
      <c r="G64" s="6">
        <f t="shared" si="15"/>
        <v>49720</v>
      </c>
      <c r="H64" s="108"/>
      <c r="I64" s="108"/>
      <c r="J64" s="108"/>
      <c r="K64" s="108"/>
      <c r="L64" s="108"/>
      <c r="M64" s="108"/>
      <c r="N64" s="108"/>
      <c r="O64" s="108"/>
      <c r="P64" s="43">
        <f t="shared" si="16"/>
        <v>0</v>
      </c>
      <c r="Q64" s="6">
        <f t="shared" si="17"/>
        <v>49720</v>
      </c>
      <c r="S64" s="6">
        <f t="shared" si="18"/>
        <v>49720</v>
      </c>
    </row>
    <row r="65" spans="1:21" x14ac:dyDescent="0.25">
      <c r="A65" s="4" t="s">
        <v>21</v>
      </c>
      <c r="B65" s="17">
        <f>'General Fund'!B58</f>
        <v>1728287.25</v>
      </c>
      <c r="C65" s="17">
        <f>'Capital Projects Fund'!H37</f>
        <v>0</v>
      </c>
      <c r="D65" s="199">
        <f>'Human Services'!I33</f>
        <v>17031977.220000003</v>
      </c>
      <c r="E65" s="108">
        <f>9611394.12+435554+7.15</f>
        <v>10046955.27</v>
      </c>
      <c r="F65" s="17">
        <f>'Other Government'!AI51</f>
        <v>7270149.8600000003</v>
      </c>
      <c r="G65" s="6">
        <f t="shared" si="15"/>
        <v>36077369.600000001</v>
      </c>
      <c r="H65" s="108"/>
      <c r="I65" s="108"/>
      <c r="J65" s="108"/>
      <c r="K65" s="108"/>
      <c r="L65" s="108"/>
      <c r="M65" s="108">
        <v>860147.54</v>
      </c>
      <c r="N65" s="108">
        <v>72905.8</v>
      </c>
      <c r="O65" s="108"/>
      <c r="P65" s="43">
        <f t="shared" si="16"/>
        <v>933053.34000000008</v>
      </c>
      <c r="Q65" s="6">
        <f t="shared" si="17"/>
        <v>37010422.940000005</v>
      </c>
      <c r="S65" s="6">
        <f t="shared" si="18"/>
        <v>37010422.940000005</v>
      </c>
    </row>
    <row r="66" spans="1:21" x14ac:dyDescent="0.25">
      <c r="A66" s="4" t="s">
        <v>22</v>
      </c>
      <c r="B66" s="17">
        <f>'General Fund'!B59</f>
        <v>2322656.7199999997</v>
      </c>
      <c r="C66" s="17">
        <f>'Capital Projects Fund'!H38</f>
        <v>0</v>
      </c>
      <c r="D66" s="199">
        <f>'Human Services'!I34</f>
        <v>120623.77</v>
      </c>
      <c r="E66" s="108">
        <f>443296.47-435554</f>
        <v>7742.4699999999721</v>
      </c>
      <c r="F66" s="17">
        <f>'Other Government'!AI52</f>
        <v>713804.5</v>
      </c>
      <c r="G66" s="6">
        <f t="shared" si="15"/>
        <v>3164827.46</v>
      </c>
      <c r="H66" s="108"/>
      <c r="I66" s="108"/>
      <c r="J66" s="108"/>
      <c r="K66" s="108"/>
      <c r="L66" s="108"/>
      <c r="M66" s="108">
        <v>19648.669999999998</v>
      </c>
      <c r="N66" s="108"/>
      <c r="O66" s="108"/>
      <c r="P66" s="43">
        <f t="shared" si="16"/>
        <v>19648.669999999998</v>
      </c>
      <c r="Q66" s="6">
        <f t="shared" si="17"/>
        <v>3184476.13</v>
      </c>
      <c r="S66" s="6">
        <f t="shared" si="18"/>
        <v>3184476.13</v>
      </c>
    </row>
    <row r="67" spans="1:21" x14ac:dyDescent="0.25">
      <c r="A67" s="4" t="s">
        <v>201</v>
      </c>
      <c r="B67" s="17">
        <f>'General Fund'!B60</f>
        <v>135423.06</v>
      </c>
      <c r="D67" s="199">
        <f>'Human Services'!I35</f>
        <v>234988.94999999998</v>
      </c>
      <c r="E67" s="108"/>
      <c r="F67" s="17">
        <f>'Other Government'!AI53</f>
        <v>0</v>
      </c>
      <c r="G67" s="6">
        <f t="shared" si="15"/>
        <v>370412.01</v>
      </c>
      <c r="H67" s="108"/>
      <c r="I67" s="108"/>
      <c r="J67" s="108"/>
      <c r="K67" s="108"/>
      <c r="L67" s="108"/>
      <c r="M67" s="108"/>
      <c r="N67" s="108"/>
      <c r="O67" s="108"/>
      <c r="P67" s="43">
        <f t="shared" si="16"/>
        <v>0</v>
      </c>
      <c r="Q67" s="6">
        <f t="shared" si="17"/>
        <v>370412.01</v>
      </c>
      <c r="S67" s="6">
        <f t="shared" si="18"/>
        <v>370412.01</v>
      </c>
    </row>
    <row r="68" spans="1:21" x14ac:dyDescent="0.25">
      <c r="A68" s="4" t="s">
        <v>23</v>
      </c>
      <c r="B68" s="6">
        <f>'General Fund'!M61</f>
        <v>16536.66</v>
      </c>
      <c r="C68" s="17">
        <f>'Capital Projects Fund'!H40</f>
        <v>570.84</v>
      </c>
      <c r="D68" s="17">
        <f>'Human Services'!I36</f>
        <v>6461.85</v>
      </c>
      <c r="E68" s="108"/>
      <c r="F68" s="17">
        <f>'Other Government'!AI54</f>
        <v>25978.52</v>
      </c>
      <c r="G68" s="6">
        <f t="shared" si="15"/>
        <v>49547.869999999995</v>
      </c>
      <c r="H68" s="108">
        <v>2553033.8199999998</v>
      </c>
      <c r="I68" s="108"/>
      <c r="J68" s="108"/>
      <c r="K68" s="108"/>
      <c r="L68" s="108">
        <v>328.2</v>
      </c>
      <c r="M68" s="108"/>
      <c r="N68" s="108"/>
      <c r="O68" s="108"/>
      <c r="P68" s="43">
        <f>SUM(H68:O68)</f>
        <v>2553362.02</v>
      </c>
      <c r="Q68" s="6">
        <f t="shared" si="17"/>
        <v>2602909.89</v>
      </c>
      <c r="S68" s="6">
        <f t="shared" si="18"/>
        <v>2602909.89</v>
      </c>
    </row>
    <row r="69" spans="1:21" x14ac:dyDescent="0.25">
      <c r="A69" s="4" t="s">
        <v>117</v>
      </c>
      <c r="B69" s="6">
        <f>'General Fund'!B62</f>
        <v>0</v>
      </c>
      <c r="C69" s="17">
        <f>'Capital Projects Fund'!H41</f>
        <v>0</v>
      </c>
      <c r="E69" s="108"/>
      <c r="G69" s="6">
        <f t="shared" si="15"/>
        <v>0</v>
      </c>
      <c r="H69" s="108"/>
      <c r="I69" s="108"/>
      <c r="J69" s="108"/>
      <c r="K69" s="108"/>
      <c r="L69" s="108"/>
      <c r="M69" s="108"/>
      <c r="N69" s="108"/>
      <c r="O69" s="108"/>
      <c r="P69" s="43">
        <f t="shared" si="16"/>
        <v>0</v>
      </c>
      <c r="Q69" s="6">
        <f t="shared" si="17"/>
        <v>0</v>
      </c>
      <c r="S69" s="6">
        <f t="shared" si="18"/>
        <v>0</v>
      </c>
      <c r="U69" s="6"/>
    </row>
    <row r="70" spans="1:21" x14ac:dyDescent="0.25">
      <c r="A70" s="4" t="s">
        <v>24</v>
      </c>
      <c r="B70" s="17">
        <f>'General Fund'!M63</f>
        <v>135564.32</v>
      </c>
      <c r="C70" s="17">
        <f>'Capital Projects Fund'!H42</f>
        <v>0</v>
      </c>
      <c r="D70" s="17">
        <f>'Human Services'!I37</f>
        <v>314353.3</v>
      </c>
      <c r="E70" s="108"/>
      <c r="F70" s="17">
        <f>'Other Government'!AI55</f>
        <v>8384.57</v>
      </c>
      <c r="G70" s="6">
        <f t="shared" si="15"/>
        <v>458302.19</v>
      </c>
      <c r="H70" s="108">
        <v>10008759.15</v>
      </c>
      <c r="I70" s="108"/>
      <c r="J70" s="108"/>
      <c r="K70" s="108">
        <v>282316.28999999998</v>
      </c>
      <c r="L70" s="108">
        <v>70934.31</v>
      </c>
      <c r="M70" s="108"/>
      <c r="N70" s="108"/>
      <c r="O70" s="108"/>
      <c r="P70" s="43">
        <f>SUM(H70:O70)</f>
        <v>10362009.75</v>
      </c>
      <c r="Q70" s="6">
        <f>G70+P70</f>
        <v>10820311.939999999</v>
      </c>
      <c r="S70" s="6">
        <f>Q70+R70</f>
        <v>10820311.939999999</v>
      </c>
    </row>
    <row r="71" spans="1:21" x14ac:dyDescent="0.25">
      <c r="A71" s="2" t="s">
        <v>25</v>
      </c>
      <c r="B71" s="6">
        <f>SUM(B63:B70)</f>
        <v>16143729.040000001</v>
      </c>
      <c r="C71" s="17">
        <f>'Capital Projects Fund'!H43</f>
        <v>570.84</v>
      </c>
      <c r="D71" s="17">
        <f>'Human Services'!I38</f>
        <v>17708405.09</v>
      </c>
      <c r="E71" s="17">
        <f>SUM(E63:E70)</f>
        <v>10054697.74</v>
      </c>
      <c r="F71" s="17">
        <f>'Other Government'!AI56</f>
        <v>8018317.4499999993</v>
      </c>
      <c r="G71" s="6">
        <f t="shared" si="15"/>
        <v>51925720.159999996</v>
      </c>
      <c r="H71" s="98">
        <f>SUM(H63:H70)</f>
        <v>12561792.970000001</v>
      </c>
      <c r="I71" s="98">
        <f t="shared" ref="I71:S71" si="19">SUM(I63:I70)</f>
        <v>0</v>
      </c>
      <c r="J71" s="98">
        <f t="shared" si="19"/>
        <v>0</v>
      </c>
      <c r="K71" s="98">
        <f t="shared" si="19"/>
        <v>282316.28999999998</v>
      </c>
      <c r="L71" s="98">
        <f t="shared" si="19"/>
        <v>71262.509999999995</v>
      </c>
      <c r="M71" s="98">
        <f t="shared" si="19"/>
        <v>879796.21000000008</v>
      </c>
      <c r="N71" s="98">
        <f t="shared" si="19"/>
        <v>72905.8</v>
      </c>
      <c r="O71" s="98">
        <f t="shared" si="19"/>
        <v>0</v>
      </c>
      <c r="P71" s="98">
        <f t="shared" si="19"/>
        <v>13868073.780000001</v>
      </c>
      <c r="Q71" s="98">
        <f t="shared" si="19"/>
        <v>65793793.940000005</v>
      </c>
      <c r="R71" s="98">
        <f t="shared" si="19"/>
        <v>0</v>
      </c>
      <c r="S71" s="173">
        <f t="shared" si="19"/>
        <v>65793793.940000005</v>
      </c>
      <c r="T71" t="s">
        <v>402</v>
      </c>
    </row>
    <row r="72" spans="1:21" x14ac:dyDescent="0.25">
      <c r="S72" s="198"/>
      <c r="T72" s="43">
        <f>'[1]Major fund 2019'!$G$112</f>
        <v>65614385.959999993</v>
      </c>
      <c r="U72" s="43">
        <f>T72-S71</f>
        <v>-179407.98000001162</v>
      </c>
    </row>
    <row r="73" spans="1:21" x14ac:dyDescent="0.25">
      <c r="A73" s="3" t="s">
        <v>26</v>
      </c>
    </row>
    <row r="74" spans="1:21" x14ac:dyDescent="0.25">
      <c r="A74" s="4" t="s">
        <v>27</v>
      </c>
      <c r="B74" s="199">
        <f>'General Fund'!M67</f>
        <v>6865075.5</v>
      </c>
      <c r="C74" s="17">
        <f>'Capital Projects Fund'!H46</f>
        <v>382039</v>
      </c>
      <c r="D74" s="17">
        <f>'Human Services'!I41</f>
        <v>0</v>
      </c>
      <c r="E74" s="55"/>
      <c r="F74" s="17">
        <f>'Other Government'!AI59</f>
        <v>26412.14</v>
      </c>
      <c r="G74" s="6">
        <f t="shared" ref="G74:G82" si="20">SUM(B74:F74)</f>
        <v>7273526.6399999997</v>
      </c>
      <c r="H74" s="108">
        <v>3584865.01</v>
      </c>
      <c r="I74" s="108"/>
      <c r="J74" s="108"/>
      <c r="K74" s="108">
        <v>5886.21</v>
      </c>
      <c r="L74" s="108">
        <f>348444.38-1080</f>
        <v>347364.38</v>
      </c>
      <c r="M74" s="108"/>
      <c r="N74" s="108"/>
      <c r="O74" s="108">
        <v>1652783.75</v>
      </c>
      <c r="P74" s="43">
        <f>SUM(H74:O74)</f>
        <v>5590899.3499999996</v>
      </c>
      <c r="Q74" s="6">
        <f>G74+P74</f>
        <v>12864425.989999998</v>
      </c>
      <c r="S74" s="6">
        <f>Q74+R74</f>
        <v>12864425.989999998</v>
      </c>
    </row>
    <row r="75" spans="1:21" x14ac:dyDescent="0.25">
      <c r="A75" s="4" t="s">
        <v>28</v>
      </c>
      <c r="B75" s="199">
        <f>'General Fund'!M68</f>
        <v>3355865.4000000004</v>
      </c>
      <c r="C75" s="17">
        <f>'Capital Projects Fund'!H47</f>
        <v>0</v>
      </c>
      <c r="D75" s="17">
        <f>'Human Services'!I42</f>
        <v>0</v>
      </c>
      <c r="E75" s="55"/>
      <c r="F75" s="17">
        <f>'Other Government'!AI60</f>
        <v>582577.77</v>
      </c>
      <c r="G75" s="6">
        <f t="shared" si="20"/>
        <v>3938443.1700000004</v>
      </c>
      <c r="H75" s="108"/>
      <c r="I75" s="108"/>
      <c r="J75" s="108"/>
      <c r="K75" s="108"/>
      <c r="L75" s="108"/>
      <c r="M75" s="108"/>
      <c r="N75" s="108"/>
      <c r="O75" s="108"/>
      <c r="P75" s="43">
        <f t="shared" ref="P75:P82" si="21">SUM(H75:O75)</f>
        <v>0</v>
      </c>
      <c r="Q75" s="6">
        <f t="shared" ref="Q75:Q82" si="22">G75+P75</f>
        <v>3938443.1700000004</v>
      </c>
      <c r="S75" s="6">
        <f t="shared" ref="S75:S82" si="23">Q75+R75</f>
        <v>3938443.1700000004</v>
      </c>
    </row>
    <row r="76" spans="1:21" x14ac:dyDescent="0.25">
      <c r="A76" s="4" t="s">
        <v>29</v>
      </c>
      <c r="B76" s="6">
        <f>'General Fund'!M69</f>
        <v>4405519.46</v>
      </c>
      <c r="C76" s="17">
        <f>'Capital Projects Fund'!H48</f>
        <v>0</v>
      </c>
      <c r="D76" s="17">
        <f>'Human Services'!I43</f>
        <v>0</v>
      </c>
      <c r="E76" s="55"/>
      <c r="F76" s="17">
        <f>'Other Government'!AI61</f>
        <v>2674400.85</v>
      </c>
      <c r="G76" s="6">
        <f t="shared" si="20"/>
        <v>7079920.3100000005</v>
      </c>
      <c r="H76" s="108"/>
      <c r="I76" s="108"/>
      <c r="J76" s="108"/>
      <c r="K76" s="108"/>
      <c r="L76" s="108"/>
      <c r="M76" s="108"/>
      <c r="N76" s="108"/>
      <c r="O76" s="108"/>
      <c r="P76" s="43">
        <f t="shared" si="21"/>
        <v>0</v>
      </c>
      <c r="Q76" s="6">
        <f t="shared" si="22"/>
        <v>7079920.3100000005</v>
      </c>
      <c r="S76" s="6">
        <f t="shared" si="23"/>
        <v>7079920.3100000005</v>
      </c>
    </row>
    <row r="77" spans="1:21" x14ac:dyDescent="0.25">
      <c r="A77" s="4" t="s">
        <v>30</v>
      </c>
      <c r="B77" s="6">
        <f>'General Fund'!M70</f>
        <v>457124.57</v>
      </c>
      <c r="C77" s="17">
        <f>'Capital Projects Fund'!H49</f>
        <v>0</v>
      </c>
      <c r="D77" s="17">
        <f>'Human Services'!I44</f>
        <v>0</v>
      </c>
      <c r="E77" s="55"/>
      <c r="F77" s="17">
        <f>'Other Government'!AI62</f>
        <v>1040984.73</v>
      </c>
      <c r="G77" s="6">
        <f t="shared" si="20"/>
        <v>1498109.3</v>
      </c>
      <c r="H77" s="108"/>
      <c r="I77" s="108"/>
      <c r="J77" s="108"/>
      <c r="K77" s="108"/>
      <c r="L77" s="108"/>
      <c r="M77" s="108"/>
      <c r="N77" s="108"/>
      <c r="O77" s="108"/>
      <c r="P77" s="43">
        <f t="shared" si="21"/>
        <v>0</v>
      </c>
      <c r="Q77" s="6">
        <f t="shared" si="22"/>
        <v>1498109.3</v>
      </c>
      <c r="S77" s="6">
        <f t="shared" si="23"/>
        <v>1498109.3</v>
      </c>
    </row>
    <row r="78" spans="1:21" x14ac:dyDescent="0.25">
      <c r="A78" s="4" t="s">
        <v>31</v>
      </c>
      <c r="B78" s="17">
        <f>'General Fund'!M71</f>
        <v>106092.83</v>
      </c>
      <c r="C78" s="17">
        <f>'Capital Projects Fund'!H50</f>
        <v>0</v>
      </c>
      <c r="D78" s="17">
        <f>'Human Services'!I45</f>
        <v>18096573.899999999</v>
      </c>
      <c r="E78" s="108">
        <f>3.01+9904740.73-46</f>
        <v>9904697.7400000002</v>
      </c>
      <c r="F78" s="17">
        <f>'Other Government'!AI63</f>
        <v>2869618.1399999997</v>
      </c>
      <c r="G78" s="6">
        <f t="shared" si="20"/>
        <v>30976982.609999999</v>
      </c>
      <c r="H78" s="108"/>
      <c r="I78" s="108"/>
      <c r="J78" s="108"/>
      <c r="K78" s="108"/>
      <c r="L78" s="108"/>
      <c r="M78" s="108"/>
      <c r="N78" s="108"/>
      <c r="O78" s="108"/>
      <c r="P78" s="43">
        <f t="shared" si="21"/>
        <v>0</v>
      </c>
      <c r="Q78" s="6">
        <f t="shared" si="22"/>
        <v>30976982.609999999</v>
      </c>
      <c r="S78" s="6">
        <f t="shared" si="23"/>
        <v>30976982.609999999</v>
      </c>
    </row>
    <row r="79" spans="1:21" x14ac:dyDescent="0.25">
      <c r="A79" s="4" t="s">
        <v>63</v>
      </c>
      <c r="B79" s="17">
        <f>'General Fund'!M72</f>
        <v>631691.02</v>
      </c>
      <c r="C79" s="17">
        <f>'Capital Projects Fund'!H51</f>
        <v>0</v>
      </c>
      <c r="D79" s="17">
        <f>'Human Services'!I46</f>
        <v>0</v>
      </c>
      <c r="E79" s="55"/>
      <c r="F79" s="17">
        <f>'Other Government'!AI64</f>
        <v>499209.68</v>
      </c>
      <c r="G79" s="6">
        <f t="shared" si="20"/>
        <v>1130900.7</v>
      </c>
      <c r="H79" s="108"/>
      <c r="I79" s="108"/>
      <c r="J79" s="108"/>
      <c r="K79" s="108"/>
      <c r="L79" s="108"/>
      <c r="M79" s="108">
        <f>1083847.63+52055</f>
        <v>1135902.6299999999</v>
      </c>
      <c r="N79" s="108"/>
      <c r="O79" s="108"/>
      <c r="P79" s="43">
        <f t="shared" si="21"/>
        <v>1135902.6299999999</v>
      </c>
      <c r="Q79" s="6">
        <f t="shared" si="22"/>
        <v>2266803.33</v>
      </c>
      <c r="S79" s="6">
        <f t="shared" si="23"/>
        <v>2266803.33</v>
      </c>
    </row>
    <row r="80" spans="1:21" x14ac:dyDescent="0.25">
      <c r="A80" s="4" t="s">
        <v>228</v>
      </c>
      <c r="B80" s="17">
        <f>'General Fund'!M73</f>
        <v>307701.96999999997</v>
      </c>
      <c r="C80" s="17">
        <f>'Capital Projects Fund'!H52</f>
        <v>0</v>
      </c>
      <c r="E80" s="55"/>
      <c r="G80" s="6">
        <f>SUM(B80:F80)</f>
        <v>307701.96999999997</v>
      </c>
      <c r="H80" s="108"/>
      <c r="I80" s="108"/>
      <c r="J80" s="108"/>
      <c r="K80" s="108"/>
      <c r="L80" s="108"/>
      <c r="M80" s="108"/>
      <c r="N80" s="108"/>
      <c r="O80" s="108"/>
      <c r="P80" s="43">
        <f t="shared" si="21"/>
        <v>0</v>
      </c>
      <c r="Q80" s="6">
        <f t="shared" si="22"/>
        <v>307701.96999999997</v>
      </c>
      <c r="S80" s="6">
        <f t="shared" si="23"/>
        <v>307701.96999999997</v>
      </c>
    </row>
    <row r="81" spans="1:20" x14ac:dyDescent="0.25">
      <c r="A81" s="4" t="s">
        <v>351</v>
      </c>
      <c r="B81" s="17">
        <f>'General Fund'!M75</f>
        <v>0</v>
      </c>
      <c r="C81" s="17">
        <f>'Capital Projects Fund'!H54</f>
        <v>588547</v>
      </c>
      <c r="E81" s="55"/>
      <c r="G81" s="6">
        <f t="shared" si="20"/>
        <v>588547</v>
      </c>
      <c r="H81" s="108"/>
      <c r="I81" s="108"/>
      <c r="J81" s="108"/>
      <c r="K81" s="108"/>
      <c r="L81" s="108"/>
      <c r="M81" s="108"/>
      <c r="N81" s="108"/>
      <c r="O81" s="108"/>
      <c r="P81" s="43">
        <f t="shared" si="21"/>
        <v>0</v>
      </c>
      <c r="Q81" s="6">
        <f t="shared" si="22"/>
        <v>588547</v>
      </c>
      <c r="S81" s="6">
        <f t="shared" si="23"/>
        <v>588547</v>
      </c>
    </row>
    <row r="82" spans="1:20" x14ac:dyDescent="0.25">
      <c r="A82" s="2" t="s">
        <v>32</v>
      </c>
      <c r="B82" s="17">
        <f>SUM(B74:B81)</f>
        <v>16129070.75</v>
      </c>
      <c r="C82" s="17">
        <f>'Capital Projects Fund'!H55</f>
        <v>970586</v>
      </c>
      <c r="D82" s="17">
        <f>'Human Services'!I47</f>
        <v>18096573.899999999</v>
      </c>
      <c r="E82" s="17">
        <f>SUM(E74:E81)</f>
        <v>9904697.7400000002</v>
      </c>
      <c r="F82" s="17">
        <f>'Other Government'!AI65</f>
        <v>7693203.3100000005</v>
      </c>
      <c r="G82" s="6">
        <f t="shared" si="20"/>
        <v>52794131.700000003</v>
      </c>
      <c r="H82" s="98">
        <f>SUM(H74:H81)</f>
        <v>3584865.01</v>
      </c>
      <c r="I82" s="98">
        <f t="shared" ref="I82:O82" si="24">SUM(I74:I81)</f>
        <v>0</v>
      </c>
      <c r="J82" s="98">
        <f t="shared" si="24"/>
        <v>0</v>
      </c>
      <c r="K82" s="98">
        <f t="shared" si="24"/>
        <v>5886.21</v>
      </c>
      <c r="L82" s="98">
        <f t="shared" si="24"/>
        <v>347364.38</v>
      </c>
      <c r="M82" s="98">
        <f t="shared" si="24"/>
        <v>1135902.6299999999</v>
      </c>
      <c r="N82" s="98"/>
      <c r="O82" s="98">
        <f t="shared" si="24"/>
        <v>1652783.75</v>
      </c>
      <c r="P82" s="99">
        <f t="shared" si="21"/>
        <v>6726801.9799999995</v>
      </c>
      <c r="Q82" s="94">
        <f t="shared" si="22"/>
        <v>59520933.68</v>
      </c>
      <c r="R82" s="97"/>
      <c r="S82" s="95">
        <f t="shared" si="23"/>
        <v>59520933.68</v>
      </c>
      <c r="T82" t="s">
        <v>401</v>
      </c>
    </row>
    <row r="83" spans="1:20" x14ac:dyDescent="0.25">
      <c r="B83" s="17"/>
      <c r="T83" s="43">
        <f>'[1]Major fund 2019'!$J$110</f>
        <v>59069284.389999993</v>
      </c>
    </row>
    <row r="84" spans="1:20" x14ac:dyDescent="0.25">
      <c r="A84" s="2" t="s">
        <v>33</v>
      </c>
      <c r="B84" s="17">
        <f>'General Fund'!M78</f>
        <v>14658.290000000969</v>
      </c>
      <c r="C84" s="17">
        <f>'Capital Projects Fund'!H57</f>
        <v>-970015.15999999992</v>
      </c>
      <c r="D84" s="17">
        <f>'Human Services'!I49</f>
        <v>-388168.80999999959</v>
      </c>
      <c r="E84" s="17">
        <f>E71-E82</f>
        <v>150000</v>
      </c>
      <c r="F84" s="17">
        <f>'Other Government'!AI67</f>
        <v>325114.13999999966</v>
      </c>
      <c r="G84" s="6">
        <f>SUM(B84:F84)</f>
        <v>-868411.53999999887</v>
      </c>
      <c r="K84" s="43">
        <f>K71-K82</f>
        <v>276430.07999999996</v>
      </c>
      <c r="L84" s="43">
        <f t="shared" ref="L84:M84" si="25">L71-L82</f>
        <v>-276101.87</v>
      </c>
      <c r="M84" s="43">
        <f t="shared" si="25"/>
        <v>-256106.41999999981</v>
      </c>
    </row>
    <row r="85" spans="1:20" x14ac:dyDescent="0.25">
      <c r="A85" s="2"/>
      <c r="B85" s="17"/>
    </row>
    <row r="86" spans="1:20" x14ac:dyDescent="0.25">
      <c r="A86" s="35" t="s">
        <v>300</v>
      </c>
      <c r="B86" s="17">
        <f>'General Fund'!B80</f>
        <v>9448.61</v>
      </c>
      <c r="C86" s="17">
        <f>'Capital Projects Fund'!H59</f>
        <v>0</v>
      </c>
      <c r="D86" s="17">
        <f>'Human Services'!I51</f>
        <v>20520</v>
      </c>
      <c r="E86" s="108"/>
      <c r="F86" s="17">
        <f>'Other Government'!AI69</f>
        <v>0</v>
      </c>
      <c r="G86" s="6">
        <f t="shared" ref="G86:G91" si="26">SUM(B86:F86)</f>
        <v>29968.61</v>
      </c>
      <c r="H86" s="108"/>
      <c r="I86" s="108"/>
      <c r="J86" s="108"/>
      <c r="K86" s="108"/>
      <c r="L86" s="108"/>
      <c r="M86" s="108"/>
      <c r="N86" s="108"/>
      <c r="O86" s="108"/>
      <c r="P86" s="43">
        <f t="shared" ref="P86:P91" si="27">SUM(H86:O86)</f>
        <v>0</v>
      </c>
      <c r="Q86" s="6">
        <f t="shared" ref="Q86:Q91" si="28">G86+P86</f>
        <v>29968.61</v>
      </c>
      <c r="S86" s="17">
        <f t="shared" ref="S86:S91" si="29">Q86+R86</f>
        <v>29968.61</v>
      </c>
    </row>
    <row r="87" spans="1:20" x14ac:dyDescent="0.25">
      <c r="A87" t="s">
        <v>396</v>
      </c>
      <c r="B87" s="17"/>
      <c r="C87" s="17">
        <f>'Capital Projects Fund'!H60</f>
        <v>551436</v>
      </c>
      <c r="E87" s="108"/>
      <c r="G87" s="6">
        <f t="shared" si="26"/>
        <v>551436</v>
      </c>
      <c r="H87" s="108"/>
      <c r="I87" s="108"/>
      <c r="J87" s="108"/>
      <c r="K87" s="108"/>
      <c r="L87" s="108"/>
      <c r="M87" s="108"/>
      <c r="N87" s="108"/>
      <c r="O87" s="108"/>
      <c r="P87" s="43">
        <f t="shared" si="27"/>
        <v>0</v>
      </c>
      <c r="Q87" s="6">
        <f t="shared" si="28"/>
        <v>551436</v>
      </c>
      <c r="S87" s="6">
        <f t="shared" si="29"/>
        <v>551436</v>
      </c>
    </row>
    <row r="88" spans="1:20" x14ac:dyDescent="0.25">
      <c r="A88" t="s">
        <v>374</v>
      </c>
      <c r="B88" s="17"/>
      <c r="C88" s="17">
        <f>'Capital Projects Fund'!H61</f>
        <v>0</v>
      </c>
      <c r="E88" s="108"/>
      <c r="G88" s="6">
        <f t="shared" si="26"/>
        <v>0</v>
      </c>
      <c r="H88" s="108"/>
      <c r="I88" s="108"/>
      <c r="J88" s="108"/>
      <c r="K88" s="108"/>
      <c r="L88" s="108"/>
      <c r="M88" s="108"/>
      <c r="N88" s="108"/>
      <c r="O88" s="108"/>
      <c r="P88" s="43">
        <f t="shared" si="27"/>
        <v>0</v>
      </c>
      <c r="Q88" s="6">
        <f t="shared" si="28"/>
        <v>0</v>
      </c>
      <c r="S88" s="6">
        <f t="shared" si="29"/>
        <v>0</v>
      </c>
    </row>
    <row r="89" spans="1:20" x14ac:dyDescent="0.25">
      <c r="A89" t="s">
        <v>375</v>
      </c>
      <c r="B89" s="17"/>
      <c r="C89" s="17">
        <f>'Capital Projects Fund'!H62</f>
        <v>0</v>
      </c>
      <c r="E89" s="108"/>
      <c r="G89" s="6">
        <f t="shared" si="26"/>
        <v>0</v>
      </c>
      <c r="H89" s="108"/>
      <c r="I89" s="108"/>
      <c r="J89" s="108"/>
      <c r="K89" s="108"/>
      <c r="L89" s="108"/>
      <c r="M89" s="108"/>
      <c r="N89" s="108"/>
      <c r="O89" s="108"/>
      <c r="P89" s="43">
        <f t="shared" si="27"/>
        <v>0</v>
      </c>
      <c r="Q89" s="6">
        <f t="shared" si="28"/>
        <v>0</v>
      </c>
      <c r="S89" s="6">
        <f t="shared" si="29"/>
        <v>0</v>
      </c>
      <c r="T89" t="s">
        <v>494</v>
      </c>
    </row>
    <row r="90" spans="1:20" x14ac:dyDescent="0.25">
      <c r="A90" t="s">
        <v>34</v>
      </c>
      <c r="B90" s="17">
        <f>'General Fund'!M81</f>
        <v>4011781.129999999</v>
      </c>
      <c r="C90" s="17">
        <f>'Capital Projects Fund'!H63</f>
        <v>699992.94</v>
      </c>
      <c r="D90" s="17">
        <f>'Human Services'!I52</f>
        <v>1336941.6599999999</v>
      </c>
      <c r="E90" s="108"/>
      <c r="F90" s="17">
        <f>'Other Government'!AI70</f>
        <v>3163396.41</v>
      </c>
      <c r="G90" s="6">
        <f t="shared" si="26"/>
        <v>9212112.1399999987</v>
      </c>
      <c r="H90" s="108"/>
      <c r="I90" s="108"/>
      <c r="J90" s="108"/>
      <c r="K90" s="108"/>
      <c r="L90" s="108">
        <v>209735.52</v>
      </c>
      <c r="M90" s="108">
        <v>185336.19</v>
      </c>
      <c r="N90" s="108"/>
      <c r="O90" s="108"/>
      <c r="P90" s="43">
        <f>SUM(H90:O90)</f>
        <v>395071.70999999996</v>
      </c>
      <c r="Q90" s="6">
        <f>G90+P90</f>
        <v>9607183.8499999978</v>
      </c>
      <c r="S90" s="17">
        <f>Q90+R90</f>
        <v>9607183.8499999978</v>
      </c>
      <c r="T90" s="43">
        <f>'[1]Major fund 2019'!$H$110</f>
        <v>10105014.01</v>
      </c>
    </row>
    <row r="91" spans="1:20" x14ac:dyDescent="0.25">
      <c r="A91" t="s">
        <v>35</v>
      </c>
      <c r="B91" s="17">
        <f>'General Fund'!M82</f>
        <v>4570954.46</v>
      </c>
      <c r="C91" s="17">
        <f>'Capital Projects Fund'!H64</f>
        <v>672012.45000000007</v>
      </c>
      <c r="D91" s="17">
        <f>'Human Services'!I53</f>
        <v>974276.17</v>
      </c>
      <c r="E91" s="108">
        <v>150000</v>
      </c>
      <c r="F91" s="17">
        <f>'Other Government'!AI71</f>
        <v>2844869.06</v>
      </c>
      <c r="G91" s="6">
        <f t="shared" si="26"/>
        <v>9212112.1400000006</v>
      </c>
      <c r="H91" s="108"/>
      <c r="I91" s="108"/>
      <c r="J91" s="108"/>
      <c r="K91" s="108">
        <v>275828.13</v>
      </c>
      <c r="L91" s="108">
        <v>5896.05</v>
      </c>
      <c r="M91" s="108"/>
      <c r="N91" s="108"/>
      <c r="O91" s="108"/>
      <c r="P91" s="43">
        <f t="shared" si="27"/>
        <v>281724.18</v>
      </c>
      <c r="Q91" s="6">
        <f t="shared" si="28"/>
        <v>9493836.3200000003</v>
      </c>
      <c r="S91" s="17">
        <f t="shared" si="29"/>
        <v>9493836.3200000003</v>
      </c>
      <c r="T91" s="43">
        <f>'[1]Major fund 2019'!$K$110</f>
        <v>10092146.619999999</v>
      </c>
    </row>
    <row r="92" spans="1:20" x14ac:dyDescent="0.25">
      <c r="A92" s="2" t="s">
        <v>36</v>
      </c>
      <c r="B92" s="17">
        <f>'General Fund'!M83</f>
        <v>-549724.72000000102</v>
      </c>
      <c r="C92" s="17">
        <f>C86+C87+C88+C89+C90-C91</f>
        <v>579416.48999999987</v>
      </c>
      <c r="D92" s="17">
        <f>'Human Services'!I54</f>
        <v>383185.49</v>
      </c>
      <c r="E92" s="17">
        <f>E86+E90-E91</f>
        <v>-150000</v>
      </c>
      <c r="F92" s="17">
        <f>'Other Government'!AI72</f>
        <v>318527.34999999998</v>
      </c>
      <c r="G92" s="6">
        <f>G86+G87+G88+G89+G90-G91</f>
        <v>581404.60999999754</v>
      </c>
      <c r="H92" s="98">
        <f>SUM(H86:H91)</f>
        <v>0</v>
      </c>
      <c r="I92" s="98">
        <f t="shared" ref="I92:S92" si="30">SUM(I86:I91)</f>
        <v>0</v>
      </c>
      <c r="J92" s="98">
        <f t="shared" si="30"/>
        <v>0</v>
      </c>
      <c r="K92" s="98">
        <f t="shared" si="30"/>
        <v>275828.13</v>
      </c>
      <c r="L92" s="98">
        <f t="shared" si="30"/>
        <v>215631.56999999998</v>
      </c>
      <c r="M92" s="98">
        <f t="shared" si="30"/>
        <v>185336.19</v>
      </c>
      <c r="N92" s="98"/>
      <c r="O92" s="98">
        <f t="shared" si="30"/>
        <v>0</v>
      </c>
      <c r="P92" s="98">
        <f t="shared" si="30"/>
        <v>676795.8899999999</v>
      </c>
      <c r="Q92" s="98">
        <f t="shared" si="30"/>
        <v>19682424.779999997</v>
      </c>
      <c r="R92" s="98">
        <f t="shared" si="30"/>
        <v>0</v>
      </c>
      <c r="S92" s="98">
        <f t="shared" si="30"/>
        <v>19682424.779999997</v>
      </c>
    </row>
    <row r="93" spans="1:20" x14ac:dyDescent="0.25">
      <c r="B93" s="17"/>
    </row>
    <row r="94" spans="1:20" x14ac:dyDescent="0.25">
      <c r="A94" s="2" t="s">
        <v>37</v>
      </c>
      <c r="B94" s="17">
        <f>'General Fund'!M85</f>
        <v>-535066.43000000017</v>
      </c>
      <c r="C94" s="17">
        <f>'Capital Projects Fund'!H67</f>
        <v>-390598.67000000004</v>
      </c>
      <c r="D94" s="17">
        <f>'Human Services'!I56</f>
        <v>-4983.3199999995995</v>
      </c>
      <c r="E94" s="17">
        <f>E84+E92</f>
        <v>0</v>
      </c>
      <c r="F94" s="17">
        <f>F84+F92</f>
        <v>643641.48999999964</v>
      </c>
      <c r="G94" s="6">
        <f>SUM(B94:F94)</f>
        <v>-287006.93000000017</v>
      </c>
      <c r="I94" s="83"/>
      <c r="J94" s="83"/>
      <c r="K94" s="83"/>
      <c r="L94" s="83"/>
      <c r="M94" s="83"/>
      <c r="N94" s="83"/>
      <c r="O94" s="83"/>
      <c r="P94" s="83"/>
    </row>
    <row r="95" spans="1:20" x14ac:dyDescent="0.25">
      <c r="A95" t="s">
        <v>38</v>
      </c>
      <c r="B95" s="17">
        <f>'General Fund'!M86</f>
        <v>7536362.7200000007</v>
      </c>
      <c r="C95" s="17">
        <f>'Capital Projects Fund'!H68</f>
        <v>251080.67000000004</v>
      </c>
      <c r="D95" s="17">
        <f>'Human Services'!I57</f>
        <v>350391.06999999954</v>
      </c>
      <c r="E95" s="17">
        <f>E96-E94</f>
        <v>0</v>
      </c>
      <c r="F95" s="17">
        <f>'Other Government'!AI75</f>
        <v>3382144.82</v>
      </c>
      <c r="G95" s="6">
        <f>SUM(B95:F95)</f>
        <v>11519979.279999999</v>
      </c>
      <c r="I95" s="83"/>
      <c r="J95" s="83"/>
      <c r="K95" s="83"/>
      <c r="L95" s="83"/>
      <c r="M95" s="83"/>
      <c r="N95" s="83"/>
      <c r="O95" s="83"/>
      <c r="P95" s="83"/>
      <c r="R95" t="s">
        <v>403</v>
      </c>
      <c r="S95" s="6">
        <f>S19-S27-S58</f>
        <v>587848.80000001192</v>
      </c>
    </row>
    <row r="96" spans="1:20" x14ac:dyDescent="0.25">
      <c r="A96" s="2" t="s">
        <v>39</v>
      </c>
      <c r="B96" s="6">
        <f>'General Fund'!M87</f>
        <v>7001296.29</v>
      </c>
      <c r="C96" s="17">
        <f>'Capital Projects Fund'!H69</f>
        <v>-139518</v>
      </c>
      <c r="D96" s="17">
        <f>'Human Services'!I58</f>
        <v>345407.74999999994</v>
      </c>
      <c r="E96" s="17">
        <f>E58</f>
        <v>0</v>
      </c>
      <c r="F96" s="17">
        <f>'Other Government'!AI76</f>
        <v>4025786.3099999996</v>
      </c>
      <c r="G96" s="6">
        <f>SUM(B96:F96)</f>
        <v>11232972.35</v>
      </c>
      <c r="I96" s="83"/>
      <c r="J96" s="83"/>
      <c r="K96" s="83"/>
      <c r="L96" s="83"/>
      <c r="M96" s="83"/>
      <c r="N96" s="83"/>
      <c r="O96" s="83"/>
      <c r="P96" s="83"/>
      <c r="R96" t="s">
        <v>404</v>
      </c>
      <c r="S96" s="43">
        <f>S71-S82+S86+S90-S91</f>
        <v>6416176.4000000022</v>
      </c>
    </row>
    <row r="98" spans="7:19" x14ac:dyDescent="0.25">
      <c r="S98" s="198"/>
    </row>
    <row r="99" spans="7:19" x14ac:dyDescent="0.25">
      <c r="G99" s="6">
        <f>G90-G91</f>
        <v>0</v>
      </c>
    </row>
    <row r="100" spans="7:19" x14ac:dyDescent="0.25">
      <c r="S100" s="43"/>
    </row>
  </sheetData>
  <customSheetViews>
    <customSheetView guid="{E68B3865-8D72-47E7-BE32-0FF7EB09E889}" showPageBreaks="1">
      <pane xSplit="1" ySplit="6" topLeftCell="K72" activePane="bottomRight" state="frozen"/>
      <selection pane="bottomRight" activeCell="Z73" sqref="Z73"/>
      <rowBreaks count="1" manualBreakCount="1">
        <brk id="60" max="16383" man="1"/>
      </rowBreaks>
      <colBreaks count="1" manualBreakCount="1">
        <brk id="7" max="1048575" man="1"/>
      </colBreaks>
      <pageMargins left="0.25" right="0.25" top="0.75" bottom="0.75" header="0.3" footer="0.3"/>
      <pageSetup paperSize="5" scale="53" fitToWidth="2" fitToHeight="0" orientation="landscape" r:id="rId1"/>
    </customSheetView>
    <customSheetView guid="{DE6E911D-85BF-467A-AA00-1E84C5349CF7}" showPageBreaks="1" fitToPage="1">
      <pane xSplit="1" ySplit="6" topLeftCell="B31" activePane="bottomRight" state="frozen"/>
      <selection pane="bottomRight" activeCell="D49" sqref="D49"/>
      <pageMargins left="0" right="0" top="0" bottom="0" header="0" footer="0"/>
      <pageSetup scale="32" orientation="landscape" r:id="rId2"/>
    </customSheetView>
    <customSheetView guid="{A6F79E61-D6A3-44FD-B4A4-4724DF74349B}" showPageBreaks="1" fitToPage="1" topLeftCell="A49">
      <selection activeCell="F61" sqref="F61"/>
      <pageMargins left="0.7" right="0.7" top="0.75" bottom="0.75" header="0.3" footer="0.3"/>
      <pageSetup scale="49" orientation="portrait" r:id="rId3"/>
      <headerFooter>
        <oddHeader xml:space="preserve">&amp;C
</oddHeader>
      </headerFooter>
    </customSheetView>
    <customSheetView guid="{D62C3EC3-27D1-41F3-9A4E-06307CA202CE}" showPageBreaks="1" fitToPage="1" showRuler="0">
      <pane xSplit="1" ySplit="6" topLeftCell="B7" activePane="bottomRight" state="frozen"/>
      <selection pane="bottomRight" activeCell="D67" sqref="D67"/>
      <pageMargins left="0.7" right="0.7" top="0.75" bottom="0.75" header="0.3" footer="0.3"/>
      <pageSetup scale="67" orientation="portrait" r:id="rId4"/>
      <headerFooter alignWithMargins="0"/>
    </customSheetView>
    <customSheetView guid="{EC03C3C8-7E57-47C6-8413-F484E8C46A0C}" showPageBreaks="1" fitToPage="1">
      <pane xSplit="1" ySplit="6" topLeftCell="B54" activePane="bottomRight" state="frozen"/>
      <selection pane="bottomRight" activeCell="B61" sqref="B61"/>
      <pageMargins left="0.7" right="0.7" top="0.75" bottom="0.75" header="0.3" footer="0.3"/>
      <pageSetup scale="66" orientation="portrait" r:id="rId5"/>
    </customSheetView>
    <customSheetView guid="{2B2709E2-6DF4-4CC4-88D0-056FB306137C}" fitToPage="1">
      <pane xSplit="1" ySplit="6" topLeftCell="B7" activePane="bottomRight" state="frozen"/>
      <selection pane="bottomRight" activeCell="B90" sqref="B90"/>
      <pageMargins left="0.7" right="0.7" top="0.75" bottom="0.75" header="0.3" footer="0.3"/>
      <pageSetup scale="67" orientation="portrait" r:id="rId6"/>
    </customSheetView>
  </customSheetViews>
  <phoneticPr fontId="0" type="noConversion"/>
  <pageMargins left="0.25" right="0.25" top="0.75" bottom="0.75" header="0.3" footer="0.3"/>
  <pageSetup paperSize="5" scale="53" fitToWidth="2" fitToHeight="0" orientation="landscape" r:id="rId7"/>
  <rowBreaks count="1" manualBreakCount="1">
    <brk id="60" max="16383" man="1"/>
  </rowBreaks>
  <colBreaks count="1" manualBreakCount="1">
    <brk id="7" max="1048575" man="1"/>
  </colBreaks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05"/>
  <sheetViews>
    <sheetView tabSelected="1" zoomScale="80" zoomScaleNormal="80" workbookViewId="0">
      <pane xSplit="6" ySplit="6" topLeftCell="G82" activePane="bottomRight" state="frozen"/>
      <selection pane="topRight" activeCell="G1" sqref="G1"/>
      <selection pane="bottomLeft" activeCell="A7" sqref="A7"/>
      <selection pane="bottomRight" activeCell="G119" sqref="G119"/>
    </sheetView>
  </sheetViews>
  <sheetFormatPr defaultRowHeight="15" x14ac:dyDescent="0.25"/>
  <cols>
    <col min="1" max="1" width="59.5703125" bestFit="1" customWidth="1"/>
    <col min="2" max="2" width="15.85546875" style="43" hidden="1" customWidth="1"/>
    <col min="3" max="3" width="17.28515625" style="43" hidden="1" customWidth="1"/>
    <col min="4" max="4" width="15.85546875" style="43" hidden="1" customWidth="1"/>
    <col min="5" max="5" width="16.28515625" style="43" hidden="1" customWidth="1"/>
    <col min="6" max="6" width="14.85546875" style="43" hidden="1" customWidth="1"/>
    <col min="7" max="7" width="15.85546875" style="43" bestFit="1" customWidth="1"/>
    <col min="8" max="8" width="10.85546875" bestFit="1" customWidth="1"/>
    <col min="9" max="9" width="16.5703125" bestFit="1" customWidth="1"/>
    <col min="10" max="10" width="12.7109375" bestFit="1" customWidth="1"/>
    <col min="11" max="11" width="14.28515625" bestFit="1" customWidth="1"/>
    <col min="12" max="12" width="14.42578125" bestFit="1" customWidth="1"/>
    <col min="13" max="13" width="15" bestFit="1" customWidth="1"/>
    <col min="14" max="14" width="17" bestFit="1" customWidth="1"/>
    <col min="15" max="15" width="16.28515625" bestFit="1" customWidth="1"/>
    <col min="16" max="16" width="15.140625" bestFit="1" customWidth="1"/>
    <col min="17" max="17" width="14.85546875" bestFit="1" customWidth="1"/>
    <col min="18" max="18" width="17" bestFit="1" customWidth="1"/>
    <col min="19" max="19" width="17.28515625" style="198" bestFit="1" customWidth="1"/>
    <col min="20" max="20" width="25" bestFit="1" customWidth="1"/>
    <col min="21" max="21" width="12.28515625" bestFit="1" customWidth="1"/>
    <col min="25" max="25" width="12.7109375" bestFit="1" customWidth="1"/>
  </cols>
  <sheetData>
    <row r="1" spans="1:20" ht="23.25" x14ac:dyDescent="0.35">
      <c r="A1" s="119" t="str">
        <f>'ALL GOVERNMENT FUNDS'!A1</f>
        <v>ALL GOVERNMENT FUNDS</v>
      </c>
    </row>
    <row r="2" spans="1:20" x14ac:dyDescent="0.25">
      <c r="A2" t="str">
        <f>'ALL GOVERNMENT FUNDS'!A2</f>
        <v>Combining Balance sheet and Statement of Revenue &amp; Expenses</v>
      </c>
    </row>
    <row r="3" spans="1:20" x14ac:dyDescent="0.25">
      <c r="A3" s="177">
        <f>'ALL GOVERNMENT FUNDS'!A3</f>
        <v>43830</v>
      </c>
    </row>
    <row r="4" spans="1:20" x14ac:dyDescent="0.25">
      <c r="A4" s="129" t="s">
        <v>429</v>
      </c>
    </row>
    <row r="6" spans="1:20" ht="45" x14ac:dyDescent="0.25">
      <c r="B6" s="120" t="str">
        <f>'ALL GOVERNMENT FUNDS'!B6</f>
        <v>General 
Fund</v>
      </c>
      <c r="C6" s="120" t="str">
        <f>'ALL GOVERNMENT FUNDS'!C6</f>
        <v>Capital Projects 
Fund (3000/4000/4100)</v>
      </c>
      <c r="D6" s="120" t="str">
        <f>'ALL GOVERNMENT FUNDS'!D6</f>
        <v>Human Services
 Fund</v>
      </c>
      <c r="E6" s="120" t="str">
        <f>'ALL GOVERNMENT FUNDS'!E6</f>
        <v>2590
Workforce
Development</v>
      </c>
      <c r="F6" s="120" t="str">
        <f>'ALL GOVERNMENT FUNDS'!F6</f>
        <v>Other Governmental
 Funds</v>
      </c>
      <c r="G6" s="120" t="str">
        <f>'ALL GOVERNMENT FUNDS'!G6</f>
        <v>TOTAL GOVT 
FUNDS</v>
      </c>
      <c r="H6" s="87" t="s">
        <v>407</v>
      </c>
      <c r="I6" s="87" t="s">
        <v>408</v>
      </c>
      <c r="J6" s="87" t="s">
        <v>409</v>
      </c>
      <c r="K6" s="87" t="s">
        <v>410</v>
      </c>
      <c r="L6" s="87" t="s">
        <v>411</v>
      </c>
      <c r="M6" s="87" t="s">
        <v>412</v>
      </c>
      <c r="N6" s="87" t="s">
        <v>413</v>
      </c>
      <c r="O6" s="87" t="s">
        <v>414</v>
      </c>
      <c r="P6" s="87" t="s">
        <v>415</v>
      </c>
      <c r="Q6" s="87" t="s">
        <v>508</v>
      </c>
      <c r="R6" s="87" t="s">
        <v>416</v>
      </c>
    </row>
    <row r="7" spans="1:20" x14ac:dyDescent="0.25">
      <c r="A7" s="124" t="str">
        <f>'ALL GOVERNMENT FUNDS'!A7</f>
        <v>Assets</v>
      </c>
      <c r="B7" s="43">
        <f>'ALL GOVERNMENT FUNDS'!B7</f>
        <v>0</v>
      </c>
      <c r="C7" s="43">
        <f>'ALL GOVERNMENT FUNDS'!C7</f>
        <v>0</v>
      </c>
      <c r="D7" s="43">
        <f>'ALL GOVERNMENT FUNDS'!D7</f>
        <v>0</v>
      </c>
      <c r="E7" s="43">
        <f>'ALL GOVERNMENT FUNDS'!E7</f>
        <v>0</v>
      </c>
      <c r="F7" s="43">
        <f>'ALL GOVERNMENT FUNDS'!F7</f>
        <v>0</v>
      </c>
      <c r="G7" s="43">
        <f>'ALL GOVERNMENT FUNDS'!G7</f>
        <v>0</v>
      </c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17"/>
    </row>
    <row r="8" spans="1:20" x14ac:dyDescent="0.25">
      <c r="A8" t="str">
        <f>'ALL GOVERNMENT FUNDS'!A8</f>
        <v>Cash &amp; cash equivalents</v>
      </c>
      <c r="B8" s="43">
        <f>'ALL GOVERNMENT FUNDS'!B8</f>
        <v>6848931.2400000012</v>
      </c>
      <c r="C8" s="43">
        <f>'ALL GOVERNMENT FUNDS'!C8</f>
        <v>-139518</v>
      </c>
      <c r="D8" s="43">
        <f>'ALL GOVERNMENT FUNDS'!D8</f>
        <v>824930.46000000008</v>
      </c>
      <c r="E8" s="43">
        <f>'ALL GOVERNMENT FUNDS'!E8</f>
        <v>-1572521.35</v>
      </c>
      <c r="F8" s="43">
        <f>'ALL GOVERNMENT FUNDS'!F8</f>
        <v>4380718.95</v>
      </c>
      <c r="G8" s="43">
        <f>'ALL GOVERNMENT FUNDS'!G8</f>
        <v>10342541.300000001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202">
        <f>SUM(G8:Q8)</f>
        <v>10342541.300000001</v>
      </c>
    </row>
    <row r="9" spans="1:20" x14ac:dyDescent="0.25">
      <c r="A9" t="str">
        <f>'ALL GOVERNMENT FUNDS'!A9</f>
        <v>Advances Receivable</v>
      </c>
      <c r="B9" s="43">
        <f>'ALL GOVERNMENT FUNDS'!B9</f>
        <v>0</v>
      </c>
      <c r="C9" s="43">
        <f>'ALL GOVERNMENT FUNDS'!C9</f>
        <v>0</v>
      </c>
      <c r="D9" s="43">
        <f>'ALL GOVERNMENT FUNDS'!D9</f>
        <v>0</v>
      </c>
      <c r="E9" s="43">
        <f>'ALL GOVERNMENT FUNDS'!E9</f>
        <v>0</v>
      </c>
      <c r="F9" s="43">
        <f>'ALL GOVERNMENT FUNDS'!F9</f>
        <v>0</v>
      </c>
      <c r="G9" s="43">
        <f>'ALL GOVERNMENT FUNDS'!G9</f>
        <v>0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202">
        <f t="shared" ref="R9:R24" si="0">SUM(G9:Q9)</f>
        <v>0</v>
      </c>
    </row>
    <row r="10" spans="1:20" x14ac:dyDescent="0.25">
      <c r="A10" t="str">
        <f>'ALL GOVERNMENT FUNDS'!A10</f>
        <v>Taxes Receivable</v>
      </c>
      <c r="B10" s="43">
        <f>'ALL GOVERNMENT FUNDS'!B10</f>
        <v>1462931.1099999999</v>
      </c>
      <c r="C10" s="43">
        <f>'ALL GOVERNMENT FUNDS'!C10</f>
        <v>0</v>
      </c>
      <c r="D10" s="43">
        <f>'ALL GOVERNMENT FUNDS'!D10</f>
        <v>0</v>
      </c>
      <c r="E10" s="43">
        <f>'ALL GOVERNMENT FUNDS'!E10</f>
        <v>0</v>
      </c>
      <c r="F10" s="43">
        <f>'ALL GOVERNMENT FUNDS'!F10</f>
        <v>0</v>
      </c>
      <c r="G10" s="43">
        <f>'ALL GOVERNMENT FUNDS'!G10</f>
        <v>1462931.1099999999</v>
      </c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202">
        <f t="shared" si="0"/>
        <v>1462931.1099999999</v>
      </c>
    </row>
    <row r="11" spans="1:20" x14ac:dyDescent="0.25">
      <c r="A11" t="str">
        <f>'ALL GOVERNMENT FUNDS'!A11</f>
        <v>A/R</v>
      </c>
      <c r="B11" s="43">
        <f>'ALL GOVERNMENT FUNDS'!B11</f>
        <v>399176.89</v>
      </c>
      <c r="C11" s="43">
        <f>'ALL GOVERNMENT FUNDS'!C11</f>
        <v>0</v>
      </c>
      <c r="D11" s="43">
        <f>'ALL GOVERNMENT FUNDS'!D11</f>
        <v>1101496.1600000001</v>
      </c>
      <c r="E11" s="43">
        <f>'ALL GOVERNMENT FUNDS'!E11</f>
        <v>0</v>
      </c>
      <c r="F11" s="43">
        <f>'ALL GOVERNMENT FUNDS'!F11</f>
        <v>1038191.14</v>
      </c>
      <c r="G11" s="43">
        <f>'ALL GOVERNMENT FUNDS'!G11</f>
        <v>2538864.1900000004</v>
      </c>
      <c r="H11" s="108"/>
      <c r="I11" s="108"/>
      <c r="J11" s="108"/>
      <c r="K11" s="108"/>
      <c r="L11" s="108"/>
      <c r="M11" s="108"/>
      <c r="N11" s="108"/>
      <c r="O11" s="108"/>
      <c r="P11" s="108"/>
      <c r="Q11" s="108">
        <f>-62835-8874.19</f>
        <v>-71709.19</v>
      </c>
      <c r="R11" s="117">
        <f t="shared" si="0"/>
        <v>2467155.0000000005</v>
      </c>
      <c r="S11" s="198">
        <v>2467155</v>
      </c>
      <c r="T11" s="209">
        <f>R11-S11</f>
        <v>0</v>
      </c>
    </row>
    <row r="12" spans="1:20" x14ac:dyDescent="0.25">
      <c r="A12" t="s">
        <v>509</v>
      </c>
      <c r="G12" s="43" t="s">
        <v>510</v>
      </c>
      <c r="H12" s="108"/>
      <c r="I12" s="108"/>
      <c r="J12" s="108"/>
      <c r="K12" s="108"/>
      <c r="L12" s="108"/>
      <c r="M12" s="108"/>
      <c r="N12" s="108"/>
      <c r="O12" s="108"/>
      <c r="P12" s="108"/>
      <c r="Q12" s="108">
        <v>509104.81</v>
      </c>
      <c r="R12" s="202">
        <f t="shared" si="0"/>
        <v>509104.81</v>
      </c>
      <c r="T12" s="209"/>
    </row>
    <row r="13" spans="1:20" x14ac:dyDescent="0.25">
      <c r="A13" t="str">
        <f>'ALL GOVERNMENT FUNDS'!A12</f>
        <v>Due from Component Unit</v>
      </c>
      <c r="B13" s="43">
        <f>'ALL GOVERNMENT FUNDS'!B12</f>
        <v>944292</v>
      </c>
      <c r="C13" s="43">
        <f>'ALL GOVERNMENT FUNDS'!C12</f>
        <v>0</v>
      </c>
      <c r="D13" s="43">
        <f>'ALL GOVERNMENT FUNDS'!D12</f>
        <v>0</v>
      </c>
      <c r="E13" s="43">
        <f>'ALL GOVERNMENT FUNDS'!E12</f>
        <v>0</v>
      </c>
      <c r="F13" s="43">
        <f>'ALL GOVERNMENT FUNDS'!F12</f>
        <v>0</v>
      </c>
      <c r="G13" s="43">
        <f>'ALL GOVERNMENT FUNDS'!G12</f>
        <v>944292</v>
      </c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202">
        <f t="shared" si="0"/>
        <v>944292</v>
      </c>
      <c r="T13" s="210"/>
    </row>
    <row r="14" spans="1:20" x14ac:dyDescent="0.25">
      <c r="A14" t="str">
        <f>'ALL GOVERNMENT FUNDS'!A13</f>
        <v>Due from Other  Funds</v>
      </c>
      <c r="B14" s="43">
        <f>'ALL GOVERNMENT FUNDS'!B13</f>
        <v>651445.80000000005</v>
      </c>
      <c r="C14" s="43">
        <f>'ALL GOVERNMENT FUNDS'!C13</f>
        <v>0</v>
      </c>
      <c r="D14" s="43">
        <f>'ALL GOVERNMENT FUNDS'!D13</f>
        <v>91749.53</v>
      </c>
      <c r="E14" s="43">
        <f>'ALL GOVERNMENT FUNDS'!E13</f>
        <v>0</v>
      </c>
      <c r="F14" s="43">
        <f>'ALL GOVERNMENT FUNDS'!F13</f>
        <v>27397.690000000002</v>
      </c>
      <c r="G14" s="43">
        <f>'ALL GOVERNMENT FUNDS'!G13</f>
        <v>770593.02</v>
      </c>
      <c r="H14" s="108"/>
      <c r="I14" s="108"/>
      <c r="J14" s="108"/>
      <c r="K14" s="108"/>
      <c r="L14" s="108"/>
      <c r="M14" s="108"/>
      <c r="N14" s="108"/>
      <c r="O14" s="108"/>
      <c r="P14" s="108"/>
      <c r="Q14" s="108">
        <f>-261488.21-509104.81</f>
        <v>-770593.02</v>
      </c>
      <c r="R14" s="202">
        <f t="shared" si="0"/>
        <v>0</v>
      </c>
      <c r="T14" s="210"/>
    </row>
    <row r="15" spans="1:20" x14ac:dyDescent="0.25">
      <c r="A15" t="str">
        <f>'ALL GOVERNMENT FUNDS'!A14</f>
        <v>Due from Other Governments</v>
      </c>
      <c r="B15" s="43">
        <f>'ALL GOVERNMENT FUNDS'!B14</f>
        <v>78239.87</v>
      </c>
      <c r="C15" s="43">
        <f>'ALL GOVERNMENT FUNDS'!C14</f>
        <v>0</v>
      </c>
      <c r="D15" s="43">
        <f>'ALL GOVERNMENT FUNDS'!D14</f>
        <v>1650959.0900000003</v>
      </c>
      <c r="E15" s="43">
        <f>'ALL GOVERNMENT FUNDS'!E14</f>
        <v>2490146.37</v>
      </c>
      <c r="F15" s="43">
        <f>'ALL GOVERNMENT FUNDS'!F14</f>
        <v>553694.96</v>
      </c>
      <c r="G15" s="43">
        <f>'ALL GOVERNMENT FUNDS'!G14</f>
        <v>4773040.29</v>
      </c>
      <c r="H15" s="108"/>
      <c r="I15" s="108"/>
      <c r="J15" s="108"/>
      <c r="K15" s="108"/>
      <c r="L15" s="108"/>
      <c r="M15" s="108"/>
      <c r="N15" s="108"/>
      <c r="O15" s="108"/>
      <c r="P15" s="108"/>
      <c r="Q15" s="108">
        <v>71711.710000000006</v>
      </c>
      <c r="R15" s="117">
        <f t="shared" si="0"/>
        <v>4844752</v>
      </c>
      <c r="S15" s="198">
        <v>4844752</v>
      </c>
      <c r="T15" s="209">
        <f>R15-S15</f>
        <v>0</v>
      </c>
    </row>
    <row r="16" spans="1:20" x14ac:dyDescent="0.25">
      <c r="A16" t="s">
        <v>422</v>
      </c>
      <c r="B16" s="178"/>
      <c r="C16" s="178">
        <v>0</v>
      </c>
      <c r="D16" s="178">
        <v>0</v>
      </c>
      <c r="E16" s="178">
        <v>0</v>
      </c>
      <c r="F16" s="178">
        <v>0</v>
      </c>
      <c r="G16" s="178">
        <f>SUM(B16:F16)</f>
        <v>0</v>
      </c>
      <c r="H16" s="108"/>
      <c r="I16" s="108"/>
      <c r="J16" s="108"/>
      <c r="K16" s="108"/>
      <c r="L16" s="108"/>
      <c r="M16" s="108"/>
      <c r="N16" s="108"/>
      <c r="O16" s="108"/>
      <c r="P16" s="108">
        <v>9136682</v>
      </c>
      <c r="Q16" s="108"/>
      <c r="R16" s="202">
        <f t="shared" si="0"/>
        <v>9136682</v>
      </c>
      <c r="T16" s="210"/>
    </row>
    <row r="17" spans="1:20" x14ac:dyDescent="0.25">
      <c r="A17" t="s">
        <v>423</v>
      </c>
      <c r="B17" s="178">
        <v>0</v>
      </c>
      <c r="C17" s="178">
        <v>0</v>
      </c>
      <c r="D17" s="178">
        <v>0</v>
      </c>
      <c r="E17" s="178">
        <v>0</v>
      </c>
      <c r="F17" s="178">
        <v>0</v>
      </c>
      <c r="G17" s="178">
        <f>SUM(B17:F17)</f>
        <v>0</v>
      </c>
      <c r="H17" s="108"/>
      <c r="I17" s="108"/>
      <c r="J17" s="108"/>
      <c r="K17" s="108"/>
      <c r="L17" s="108"/>
      <c r="M17" s="108"/>
      <c r="N17" s="108">
        <f>2119678+40000</f>
        <v>2159678</v>
      </c>
      <c r="O17" s="108"/>
      <c r="P17" s="108"/>
      <c r="Q17" s="108"/>
      <c r="R17" s="202">
        <f t="shared" si="0"/>
        <v>2159678</v>
      </c>
      <c r="T17" s="209"/>
    </row>
    <row r="18" spans="1:20" x14ac:dyDescent="0.25">
      <c r="A18" t="s">
        <v>424</v>
      </c>
      <c r="B18" s="178">
        <v>0</v>
      </c>
      <c r="C18" s="178">
        <v>0</v>
      </c>
      <c r="D18" s="178">
        <v>0</v>
      </c>
      <c r="E18" s="178">
        <v>0</v>
      </c>
      <c r="F18" s="178">
        <v>0</v>
      </c>
      <c r="G18" s="178">
        <f>SUM(B18:F18)</f>
        <v>0</v>
      </c>
      <c r="H18" s="108"/>
      <c r="I18" s="108"/>
      <c r="J18" s="108"/>
      <c r="K18" s="108"/>
      <c r="L18" s="108"/>
      <c r="M18" s="108"/>
      <c r="N18" s="108">
        <f>62207713+1814871-450905</f>
        <v>63571679</v>
      </c>
      <c r="O18" s="108"/>
      <c r="P18" s="108"/>
      <c r="Q18" s="108"/>
      <c r="R18" s="202">
        <f t="shared" si="0"/>
        <v>63571679</v>
      </c>
      <c r="T18" s="210"/>
    </row>
    <row r="19" spans="1:20" x14ac:dyDescent="0.25">
      <c r="A19" t="s">
        <v>425</v>
      </c>
      <c r="B19" s="178">
        <v>0</v>
      </c>
      <c r="C19" s="178">
        <v>0</v>
      </c>
      <c r="D19" s="178">
        <v>0</v>
      </c>
      <c r="E19" s="178">
        <v>0</v>
      </c>
      <c r="F19" s="178">
        <v>0</v>
      </c>
      <c r="G19" s="178">
        <f>SUM(B19:F19)</f>
        <v>0</v>
      </c>
      <c r="H19" s="108"/>
      <c r="I19" s="108"/>
      <c r="J19" s="108"/>
      <c r="K19" s="108"/>
      <c r="L19" s="108"/>
      <c r="M19" s="108"/>
      <c r="N19" s="108">
        <f>-39548864+417273-1652784</f>
        <v>-40784375</v>
      </c>
      <c r="O19" s="108"/>
      <c r="P19" s="108"/>
      <c r="Q19" s="108"/>
      <c r="R19" s="202">
        <f t="shared" si="0"/>
        <v>-40784375</v>
      </c>
      <c r="S19" s="204">
        <f>SUM(R18:R19)</f>
        <v>22787304</v>
      </c>
      <c r="T19" s="210"/>
    </row>
    <row r="20" spans="1:20" x14ac:dyDescent="0.25">
      <c r="A20" t="s">
        <v>427</v>
      </c>
      <c r="B20" s="178">
        <v>0</v>
      </c>
      <c r="C20" s="178">
        <v>0</v>
      </c>
      <c r="D20" s="178">
        <v>0</v>
      </c>
      <c r="E20" s="178">
        <v>0</v>
      </c>
      <c r="F20" s="178">
        <v>0</v>
      </c>
      <c r="G20" s="178">
        <f>SUM(B20:F20)</f>
        <v>0</v>
      </c>
      <c r="H20" s="108"/>
      <c r="I20" s="108"/>
      <c r="J20" s="108"/>
      <c r="K20" s="108"/>
      <c r="L20" s="108"/>
      <c r="M20" s="108"/>
      <c r="N20" s="108"/>
      <c r="O20" s="108"/>
      <c r="P20" s="108">
        <v>3777847</v>
      </c>
      <c r="Q20" s="108"/>
      <c r="R20" s="202">
        <f t="shared" si="0"/>
        <v>3777847</v>
      </c>
      <c r="T20" s="210"/>
    </row>
    <row r="21" spans="1:20" x14ac:dyDescent="0.25">
      <c r="A21" t="str">
        <f>'ALL GOVERNMENT FUNDS'!A15</f>
        <v>Other Assets</v>
      </c>
      <c r="B21" s="43">
        <f>'ALL GOVERNMENT FUNDS'!B15</f>
        <v>0</v>
      </c>
      <c r="C21" s="43">
        <f>'ALL GOVERNMENT FUNDS'!C15</f>
        <v>0</v>
      </c>
      <c r="D21" s="43">
        <f>'ALL GOVERNMENT FUNDS'!D15</f>
        <v>-2</v>
      </c>
      <c r="E21" s="43">
        <f>'ALL GOVERNMENT FUNDS'!E15</f>
        <v>0</v>
      </c>
      <c r="F21" s="43">
        <f>'ALL GOVERNMENT FUNDS'!F15</f>
        <v>72415.11</v>
      </c>
      <c r="G21" s="43">
        <f>'ALL GOVERNMENT FUNDS'!G15</f>
        <v>72413.11</v>
      </c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202">
        <f t="shared" si="0"/>
        <v>72413.11</v>
      </c>
      <c r="T21" s="210"/>
    </row>
    <row r="22" spans="1:20" x14ac:dyDescent="0.25">
      <c r="A22" t="str">
        <f>'ALL GOVERNMENT FUNDS'!A16</f>
        <v>Lease Receivable</v>
      </c>
      <c r="B22" s="43">
        <f>'ALL GOVERNMENT FUNDS'!B16</f>
        <v>0</v>
      </c>
      <c r="C22" s="43">
        <f>'ALL GOVERNMENT FUNDS'!C16</f>
        <v>0</v>
      </c>
      <c r="D22" s="43">
        <f>'ALL GOVERNMENT FUNDS'!D16</f>
        <v>0</v>
      </c>
      <c r="E22" s="43">
        <f>'ALL GOVERNMENT FUNDS'!E16</f>
        <v>0</v>
      </c>
      <c r="F22" s="43">
        <f>'ALL GOVERNMENT FUNDS'!F16</f>
        <v>0</v>
      </c>
      <c r="G22" s="43">
        <f>'ALL GOVERNMENT FUNDS'!G16</f>
        <v>0</v>
      </c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202">
        <f t="shared" si="0"/>
        <v>0</v>
      </c>
      <c r="T22" s="210"/>
    </row>
    <row r="23" spans="1:20" x14ac:dyDescent="0.25">
      <c r="A23" t="str">
        <f>'ALL GOVERNMENT FUNDS'!A17</f>
        <v xml:space="preserve">       Current</v>
      </c>
      <c r="B23" s="43">
        <f>'ALL GOVERNMENT FUNDS'!B17</f>
        <v>0</v>
      </c>
      <c r="C23" s="43">
        <f>'ALL GOVERNMENT FUNDS'!C17</f>
        <v>0</v>
      </c>
      <c r="D23" s="43">
        <f>'ALL GOVERNMENT FUNDS'!D17</f>
        <v>0</v>
      </c>
      <c r="E23" s="43">
        <f>'ALL GOVERNMENT FUNDS'!E17</f>
        <v>0</v>
      </c>
      <c r="F23" s="43">
        <f>'ALL GOVERNMENT FUNDS'!F17</f>
        <v>0</v>
      </c>
      <c r="G23" s="43">
        <f>'ALL GOVERNMENT FUNDS'!G17</f>
        <v>0</v>
      </c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202">
        <f t="shared" si="0"/>
        <v>0</v>
      </c>
      <c r="T23" s="210"/>
    </row>
    <row r="24" spans="1:20" x14ac:dyDescent="0.25">
      <c r="A24" t="str">
        <f>'ALL GOVERNMENT FUNDS'!A18</f>
        <v xml:space="preserve">       Non-Current</v>
      </c>
      <c r="B24" s="43">
        <f>'ALL GOVERNMENT FUNDS'!B18</f>
        <v>0</v>
      </c>
      <c r="C24" s="43">
        <f>'ALL GOVERNMENT FUNDS'!C18</f>
        <v>0</v>
      </c>
      <c r="D24" s="43">
        <f>'ALL GOVERNMENT FUNDS'!D18</f>
        <v>0</v>
      </c>
      <c r="E24" s="43">
        <f>'ALL GOVERNMENT FUNDS'!E18</f>
        <v>0</v>
      </c>
      <c r="F24" s="43">
        <f>'ALL GOVERNMENT FUNDS'!F18</f>
        <v>0</v>
      </c>
      <c r="G24" s="43">
        <f>'ALL GOVERNMENT FUNDS'!G18</f>
        <v>0</v>
      </c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202">
        <f t="shared" si="0"/>
        <v>0</v>
      </c>
      <c r="T24" s="210"/>
    </row>
    <row r="25" spans="1:20" x14ac:dyDescent="0.25">
      <c r="A25" s="66" t="str">
        <f>'ALL GOVERNMENT FUNDS'!A19</f>
        <v>Total Assets</v>
      </c>
      <c r="B25" s="116">
        <f>'ALL GOVERNMENT FUNDS'!B19</f>
        <v>10385016.91</v>
      </c>
      <c r="C25" s="116">
        <f>'ALL GOVERNMENT FUNDS'!C19</f>
        <v>-139518</v>
      </c>
      <c r="D25" s="116">
        <f>'ALL GOVERNMENT FUNDS'!D19</f>
        <v>3669133.24</v>
      </c>
      <c r="E25" s="116">
        <f>'ALL GOVERNMENT FUNDS'!E19</f>
        <v>917625.02</v>
      </c>
      <c r="F25" s="116">
        <f>'ALL GOVERNMENT FUNDS'!F19</f>
        <v>6072417.8500000015</v>
      </c>
      <c r="G25" s="116">
        <f>'ALL GOVERNMENT FUNDS'!G19</f>
        <v>20904675.020000003</v>
      </c>
      <c r="H25" s="125">
        <f t="shared" ref="H25:Q25" si="1">SUM(H8:H24)</f>
        <v>0</v>
      </c>
      <c r="I25" s="125">
        <f t="shared" si="1"/>
        <v>0</v>
      </c>
      <c r="J25" s="125">
        <f t="shared" si="1"/>
        <v>0</v>
      </c>
      <c r="K25" s="125">
        <f t="shared" si="1"/>
        <v>0</v>
      </c>
      <c r="L25" s="125">
        <f t="shared" si="1"/>
        <v>0</v>
      </c>
      <c r="M25" s="125">
        <f t="shared" si="1"/>
        <v>0</v>
      </c>
      <c r="N25" s="125">
        <f t="shared" si="1"/>
        <v>24946982</v>
      </c>
      <c r="O25" s="125">
        <f t="shared" si="1"/>
        <v>0</v>
      </c>
      <c r="P25" s="125">
        <f t="shared" si="1"/>
        <v>12914529</v>
      </c>
      <c r="Q25" s="125">
        <f t="shared" si="1"/>
        <v>-261485.69</v>
      </c>
      <c r="R25" s="118">
        <f t="shared" ref="R25:R91" si="2">SUM(G25:Q25)</f>
        <v>58504700.330000006</v>
      </c>
      <c r="S25" s="205">
        <f>SUM(R8:R24)</f>
        <v>58504700.329999998</v>
      </c>
      <c r="T25" s="210"/>
    </row>
    <row r="26" spans="1:20" x14ac:dyDescent="0.25">
      <c r="R26" s="117"/>
      <c r="T26" s="210"/>
    </row>
    <row r="27" spans="1:20" x14ac:dyDescent="0.25">
      <c r="A27" s="124" t="str">
        <f>'ALL GOVERNMENT FUNDS'!A21</f>
        <v>Liabilities</v>
      </c>
      <c r="H27" s="122"/>
      <c r="I27" s="122"/>
      <c r="J27" s="122"/>
      <c r="K27" s="122"/>
      <c r="L27" s="122"/>
      <c r="M27" s="122"/>
      <c r="N27" s="122"/>
      <c r="O27" s="122"/>
      <c r="P27" s="122"/>
      <c r="R27" s="117"/>
      <c r="T27" s="210"/>
    </row>
    <row r="28" spans="1:20" x14ac:dyDescent="0.25">
      <c r="A28" t="str">
        <f>'ALL GOVERNMENT FUNDS'!A22</f>
        <v>A/P</v>
      </c>
      <c r="B28" s="43">
        <f>'ALL GOVERNMENT FUNDS'!B22</f>
        <v>1159047.97</v>
      </c>
      <c r="C28" s="43">
        <f>'ALL GOVERNMENT FUNDS'!C22</f>
        <v>0</v>
      </c>
      <c r="D28" s="43">
        <f>'ALL GOVERNMENT FUNDS'!D22</f>
        <v>985392.95000000019</v>
      </c>
      <c r="E28" s="43">
        <f>'ALL GOVERNMENT FUNDS'!E22</f>
        <v>707350.58</v>
      </c>
      <c r="F28" s="43">
        <f>'ALL GOVERNMENT FUNDS'!F22</f>
        <v>626634.68999999994</v>
      </c>
      <c r="G28" s="43">
        <f>'ALL GOVERNMENT FUNDS'!G22</f>
        <v>3478426.19</v>
      </c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202">
        <f t="shared" si="2"/>
        <v>3478426.19</v>
      </c>
      <c r="T28" s="210"/>
    </row>
    <row r="29" spans="1:20" x14ac:dyDescent="0.25">
      <c r="A29" t="str">
        <f>'ALL GOVERNMENT FUNDS'!A23</f>
        <v>Accrued Payroll</v>
      </c>
      <c r="B29" s="43">
        <f>'ALL GOVERNMENT FUNDS'!B23</f>
        <v>352732.09</v>
      </c>
      <c r="C29" s="43">
        <f>'ALL GOVERNMENT FUNDS'!C23</f>
        <v>0</v>
      </c>
      <c r="D29" s="43">
        <f>'ALL GOVERNMENT FUNDS'!D23</f>
        <v>334225.68</v>
      </c>
      <c r="E29" s="43">
        <f>'ALL GOVERNMENT FUNDS'!E23</f>
        <v>17303.150000000001</v>
      </c>
      <c r="F29" s="43">
        <f>'ALL GOVERNMENT FUNDS'!F23</f>
        <v>44122.01</v>
      </c>
      <c r="G29" s="43">
        <f>'ALL GOVERNMENT FUNDS'!G23</f>
        <v>748382.93</v>
      </c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202">
        <f t="shared" si="2"/>
        <v>748382.93</v>
      </c>
      <c r="T29" s="210"/>
    </row>
    <row r="30" spans="1:20" x14ac:dyDescent="0.25">
      <c r="A30" t="str">
        <f>'ALL GOVERNMENT FUNDS'!A24</f>
        <v>Due to Other Funds</v>
      </c>
      <c r="B30" s="43">
        <f>'ALL GOVERNMENT FUNDS'!B24</f>
        <v>101133.21</v>
      </c>
      <c r="C30" s="43">
        <f>'ALL GOVERNMENT FUNDS'!C24</f>
        <v>0</v>
      </c>
      <c r="D30" s="43">
        <f>'ALL GOVERNMENT FUNDS'!D24</f>
        <v>160355</v>
      </c>
      <c r="E30" s="43">
        <f>'ALL GOVERNMENT FUNDS'!E24</f>
        <v>0</v>
      </c>
      <c r="F30" s="43">
        <f>'ALL GOVERNMENT FUNDS'!F24</f>
        <v>0</v>
      </c>
      <c r="G30" s="43">
        <f>'ALL GOVERNMENT FUNDS'!G24</f>
        <v>261488.21000000002</v>
      </c>
      <c r="H30" s="108"/>
      <c r="I30" s="108"/>
      <c r="J30" s="108"/>
      <c r="K30" s="108"/>
      <c r="L30" s="108"/>
      <c r="M30" s="108"/>
      <c r="N30" s="108"/>
      <c r="O30" s="108"/>
      <c r="P30" s="108"/>
      <c r="Q30" s="108">
        <v>-261488.21</v>
      </c>
      <c r="R30" s="202">
        <f t="shared" si="2"/>
        <v>0</v>
      </c>
      <c r="T30" s="210"/>
    </row>
    <row r="31" spans="1:20" x14ac:dyDescent="0.25">
      <c r="A31" t="str">
        <f>'ALL GOVERNMENT FUNDS'!A25</f>
        <v>Due to Other Governments</v>
      </c>
      <c r="B31" s="43">
        <f>'ALL GOVERNMENT FUNDS'!B25</f>
        <v>23285.990000000049</v>
      </c>
      <c r="C31" s="43">
        <f>'ALL GOVERNMENT FUNDS'!C25</f>
        <v>0</v>
      </c>
      <c r="D31" s="43">
        <f>'ALL GOVERNMENT FUNDS'!D25</f>
        <v>0</v>
      </c>
      <c r="E31" s="43">
        <f>'ALL GOVERNMENT FUNDS'!E25</f>
        <v>0</v>
      </c>
      <c r="F31" s="43">
        <f>'ALL GOVERNMENT FUNDS'!F25</f>
        <v>0</v>
      </c>
      <c r="G31" s="43">
        <f>'ALL GOVERNMENT FUNDS'!G25</f>
        <v>23285.990000000049</v>
      </c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202">
        <f t="shared" si="2"/>
        <v>23285.990000000049</v>
      </c>
      <c r="T31" s="210"/>
    </row>
    <row r="32" spans="1:20" x14ac:dyDescent="0.25">
      <c r="A32" t="s">
        <v>417</v>
      </c>
      <c r="B32" s="178">
        <v>0</v>
      </c>
      <c r="C32" s="178">
        <v>0</v>
      </c>
      <c r="D32" s="178">
        <v>0</v>
      </c>
      <c r="E32" s="178">
        <v>0</v>
      </c>
      <c r="F32" s="178">
        <v>0</v>
      </c>
      <c r="G32" s="178">
        <f>SUM(B32:F32)</f>
        <v>0</v>
      </c>
      <c r="H32" s="108"/>
      <c r="I32" s="108">
        <v>586940</v>
      </c>
      <c r="J32" s="108"/>
      <c r="K32" s="108"/>
      <c r="L32" s="108"/>
      <c r="M32" s="108"/>
      <c r="N32" s="108"/>
      <c r="O32" s="108"/>
      <c r="P32" s="108"/>
      <c r="Q32" s="108"/>
      <c r="R32" s="202">
        <f t="shared" si="2"/>
        <v>586940</v>
      </c>
      <c r="T32" s="210"/>
    </row>
    <row r="33" spans="1:21" x14ac:dyDescent="0.25">
      <c r="A33" t="s">
        <v>418</v>
      </c>
      <c r="B33" s="178">
        <v>0</v>
      </c>
      <c r="C33" s="178">
        <v>0</v>
      </c>
      <c r="D33" s="178">
        <v>0</v>
      </c>
      <c r="E33" s="178">
        <v>0</v>
      </c>
      <c r="F33" s="178">
        <v>0</v>
      </c>
      <c r="G33" s="178">
        <f>SUM(B33:F33)</f>
        <v>0</v>
      </c>
      <c r="H33" s="108"/>
      <c r="I33" s="108"/>
      <c r="J33" s="108"/>
      <c r="K33" s="108"/>
      <c r="L33" s="108"/>
      <c r="M33" s="108"/>
      <c r="N33" s="108"/>
      <c r="O33" s="108">
        <v>175198</v>
      </c>
      <c r="P33" s="108"/>
      <c r="Q33" s="108"/>
      <c r="R33" s="202">
        <f t="shared" si="2"/>
        <v>175198</v>
      </c>
      <c r="T33" s="210"/>
    </row>
    <row r="34" spans="1:21" x14ac:dyDescent="0.25">
      <c r="A34" t="s">
        <v>419</v>
      </c>
      <c r="B34" s="178">
        <v>0</v>
      </c>
      <c r="C34" s="178">
        <v>0</v>
      </c>
      <c r="D34" s="178">
        <v>0</v>
      </c>
      <c r="E34" s="178">
        <v>0</v>
      </c>
      <c r="F34" s="178">
        <v>0</v>
      </c>
      <c r="G34" s="178">
        <f>SUM(B34:F34)</f>
        <v>0</v>
      </c>
      <c r="H34" s="108"/>
      <c r="I34" s="108"/>
      <c r="J34" s="108"/>
      <c r="K34" s="108"/>
      <c r="L34" s="108"/>
      <c r="M34" s="108"/>
      <c r="N34" s="108"/>
      <c r="O34" s="108">
        <v>374516</v>
      </c>
      <c r="P34" s="108"/>
      <c r="Q34" s="108"/>
      <c r="R34" s="202">
        <f t="shared" si="2"/>
        <v>374516</v>
      </c>
      <c r="T34" s="210"/>
    </row>
    <row r="35" spans="1:21" x14ac:dyDescent="0.25">
      <c r="A35" t="s">
        <v>420</v>
      </c>
      <c r="B35" s="178">
        <v>0</v>
      </c>
      <c r="C35" s="178">
        <v>0</v>
      </c>
      <c r="D35" s="178">
        <v>0</v>
      </c>
      <c r="E35" s="178">
        <v>0</v>
      </c>
      <c r="F35" s="178">
        <v>0</v>
      </c>
      <c r="G35" s="178">
        <f>SUM(B35:F35)</f>
        <v>0</v>
      </c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17">
        <f t="shared" si="2"/>
        <v>0</v>
      </c>
      <c r="T35" s="210"/>
    </row>
    <row r="36" spans="1:21" x14ac:dyDescent="0.25">
      <c r="A36" t="s">
        <v>421</v>
      </c>
      <c r="B36" s="178">
        <v>0</v>
      </c>
      <c r="C36" s="178">
        <v>0</v>
      </c>
      <c r="D36" s="178">
        <v>0</v>
      </c>
      <c r="E36" s="178">
        <v>0</v>
      </c>
      <c r="F36" s="178">
        <v>0</v>
      </c>
      <c r="G36" s="178">
        <f>SUM(B36:F36)</f>
        <v>0</v>
      </c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17">
        <f t="shared" si="2"/>
        <v>0</v>
      </c>
      <c r="T36" s="210"/>
    </row>
    <row r="37" spans="1:21" x14ac:dyDescent="0.25">
      <c r="A37" t="str">
        <f>'ALL GOVERNMENT FUNDS'!A26</f>
        <v>Deferred  Revenue</v>
      </c>
      <c r="B37" s="43">
        <f>'ALL GOVERNMENT FUNDS'!B26</f>
        <v>288286.35999999987</v>
      </c>
      <c r="C37" s="43">
        <f>'ALL GOVERNMENT FUNDS'!C26</f>
        <v>0</v>
      </c>
      <c r="D37" s="43">
        <f>'ALL GOVERNMENT FUNDS'!D26</f>
        <v>1843751.8599999999</v>
      </c>
      <c r="E37" s="43">
        <f>'ALL GOVERNMENT FUNDS'!E26</f>
        <v>192971.29</v>
      </c>
      <c r="F37" s="43">
        <f>'ALL GOVERNMENT FUNDS'!F26</f>
        <v>1375874.84</v>
      </c>
      <c r="G37" s="43">
        <f>'ALL GOVERNMENT FUNDS'!G26</f>
        <v>3700884.3499999996</v>
      </c>
      <c r="H37" s="108"/>
      <c r="I37" s="108"/>
      <c r="J37" s="108"/>
      <c r="K37" s="108"/>
      <c r="L37" s="108"/>
      <c r="M37" s="108"/>
      <c r="N37" s="108"/>
      <c r="O37" s="108"/>
      <c r="P37" s="108"/>
      <c r="Q37" s="108">
        <v>-62838.35</v>
      </c>
      <c r="R37" s="117">
        <f t="shared" si="2"/>
        <v>3638045.9999999995</v>
      </c>
      <c r="S37" s="198">
        <v>3638044</v>
      </c>
      <c r="T37" s="209">
        <f>R37-S37</f>
        <v>1.9999999995343387</v>
      </c>
      <c r="U37" s="43"/>
    </row>
    <row r="38" spans="1:21" x14ac:dyDescent="0.25">
      <c r="A38" s="66" t="str">
        <f>'ALL GOVERNMENT FUNDS'!A27</f>
        <v>Total Liabilities</v>
      </c>
      <c r="B38" s="116">
        <f>'ALL GOVERNMENT FUNDS'!B27</f>
        <v>1924485.62</v>
      </c>
      <c r="C38" s="116">
        <f>'ALL GOVERNMENT FUNDS'!C27</f>
        <v>0</v>
      </c>
      <c r="D38" s="116">
        <f>'ALL GOVERNMENT FUNDS'!D27</f>
        <v>3323725.4899999998</v>
      </c>
      <c r="E38" s="116">
        <f>'ALL GOVERNMENT FUNDS'!E27</f>
        <v>917625.02</v>
      </c>
      <c r="F38" s="116">
        <f>'ALL GOVERNMENT FUNDS'!F27</f>
        <v>2046631.5399999998</v>
      </c>
      <c r="G38" s="116">
        <f>'ALL GOVERNMENT FUNDS'!G27</f>
        <v>8212467.6699999999</v>
      </c>
      <c r="H38" s="125">
        <f>SUM(H28:H37)</f>
        <v>0</v>
      </c>
      <c r="I38" s="125">
        <f t="shared" ref="I38:Q38" si="3">SUM(I28:I37)</f>
        <v>586940</v>
      </c>
      <c r="J38" s="125">
        <f t="shared" si="3"/>
        <v>0</v>
      </c>
      <c r="K38" s="125">
        <f t="shared" si="3"/>
        <v>0</v>
      </c>
      <c r="L38" s="125">
        <f t="shared" si="3"/>
        <v>0</v>
      </c>
      <c r="M38" s="125">
        <f t="shared" si="3"/>
        <v>0</v>
      </c>
      <c r="N38" s="125">
        <f t="shared" si="3"/>
        <v>0</v>
      </c>
      <c r="O38" s="125">
        <f t="shared" si="3"/>
        <v>549714</v>
      </c>
      <c r="P38" s="125">
        <f t="shared" si="3"/>
        <v>0</v>
      </c>
      <c r="Q38" s="125">
        <f t="shared" si="3"/>
        <v>-324326.56</v>
      </c>
      <c r="R38" s="118">
        <f t="shared" si="2"/>
        <v>9024795.1099999994</v>
      </c>
      <c r="S38" s="198">
        <f>SUM(R28:R37)</f>
        <v>9024795.1099999994</v>
      </c>
    </row>
    <row r="39" spans="1:21" x14ac:dyDescent="0.25">
      <c r="R39" s="117"/>
    </row>
    <row r="40" spans="1:21" x14ac:dyDescent="0.25">
      <c r="A40" s="124" t="str">
        <f>'ALL GOVERNMENT FUNDS'!A29</f>
        <v>Deferred Inflows of Resources:</v>
      </c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17"/>
    </row>
    <row r="41" spans="1:21" x14ac:dyDescent="0.25">
      <c r="A41" t="str">
        <f>'ALL GOVERNMENT FUNDS'!A30</f>
        <v xml:space="preserve">      Unavailable revenue - taxes/fees</v>
      </c>
      <c r="B41" s="43">
        <f>'ALL GOVERNMENT FUNDS'!B30</f>
        <v>1459235</v>
      </c>
      <c r="C41" s="43">
        <f>'ALL GOVERNMENT FUNDS'!C30</f>
        <v>0</v>
      </c>
      <c r="D41" s="43">
        <f>'ALL GOVERNMENT FUNDS'!D30</f>
        <v>0</v>
      </c>
      <c r="E41" s="43">
        <f>'ALL GOVERNMENT FUNDS'!E30</f>
        <v>0</v>
      </c>
      <c r="F41" s="43">
        <f>'ALL GOVERNMENT FUNDS'!F30</f>
        <v>0</v>
      </c>
      <c r="G41" s="43">
        <f>'ALL GOVERNMENT FUNDS'!G30</f>
        <v>1459235</v>
      </c>
      <c r="H41" s="108"/>
      <c r="I41" s="108"/>
      <c r="J41" s="108">
        <v>-291491</v>
      </c>
      <c r="K41" s="108"/>
      <c r="L41" s="108">
        <v>-1230579</v>
      </c>
      <c r="M41" s="108"/>
      <c r="N41" s="108"/>
      <c r="O41" s="108"/>
      <c r="P41" s="108"/>
      <c r="Q41" s="108">
        <v>62835</v>
      </c>
      <c r="R41" s="117">
        <f>SUM(G41:Q41)</f>
        <v>0</v>
      </c>
    </row>
    <row r="42" spans="1:21" x14ac:dyDescent="0.25">
      <c r="A42" t="str">
        <f>'ALL GOVERNMENT FUNDS'!A31</f>
        <v xml:space="preserve">      Unavailable revenue - note</v>
      </c>
      <c r="B42" s="43">
        <f>'ALL GOVERNMENT FUNDS'!B31</f>
        <v>0</v>
      </c>
      <c r="C42" s="43">
        <f>'ALL GOVERNMENT FUNDS'!C31</f>
        <v>0</v>
      </c>
      <c r="D42" s="43">
        <f>'ALL GOVERNMENT FUNDS'!D31</f>
        <v>0</v>
      </c>
      <c r="E42" s="43">
        <f>'ALL GOVERNMENT FUNDS'!E31</f>
        <v>0</v>
      </c>
      <c r="F42" s="43">
        <f>'ALL GOVERNMENT FUNDS'!F31</f>
        <v>0</v>
      </c>
      <c r="G42" s="43">
        <f>'ALL GOVERNMENT FUNDS'!G31</f>
        <v>0</v>
      </c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17">
        <f t="shared" si="2"/>
        <v>0</v>
      </c>
    </row>
    <row r="43" spans="1:21" x14ac:dyDescent="0.25">
      <c r="A43" t="s">
        <v>428</v>
      </c>
      <c r="B43" s="178">
        <v>0</v>
      </c>
      <c r="C43" s="178">
        <v>0</v>
      </c>
      <c r="D43" s="178">
        <v>0</v>
      </c>
      <c r="E43" s="178">
        <v>0</v>
      </c>
      <c r="F43" s="178">
        <v>0</v>
      </c>
      <c r="G43" s="178">
        <f>SUM(B43:F43)</f>
        <v>0</v>
      </c>
      <c r="H43" s="108"/>
      <c r="I43" s="108"/>
      <c r="J43" s="108"/>
      <c r="K43" s="108"/>
      <c r="L43" s="108"/>
      <c r="M43" s="108"/>
      <c r="N43" s="108"/>
      <c r="O43" s="108"/>
      <c r="P43" s="108">
        <v>7871417</v>
      </c>
      <c r="Q43" s="108"/>
      <c r="R43" s="202">
        <f t="shared" si="2"/>
        <v>7871417</v>
      </c>
    </row>
    <row r="44" spans="1:21" x14ac:dyDescent="0.25">
      <c r="A44" s="66" t="str">
        <f>'ALL GOVERNMENT FUNDS'!A32</f>
        <v>Total Deferred Inflows of Resources</v>
      </c>
      <c r="B44" s="43">
        <f>'ALL GOVERNMENT FUNDS'!B32</f>
        <v>1459235</v>
      </c>
      <c r="C44" s="43">
        <f>'ALL GOVERNMENT FUNDS'!C32</f>
        <v>0</v>
      </c>
      <c r="D44" s="43">
        <f>'ALL GOVERNMENT FUNDS'!D32</f>
        <v>0</v>
      </c>
      <c r="E44" s="43">
        <f>'ALL GOVERNMENT FUNDS'!E32</f>
        <v>0</v>
      </c>
      <c r="F44" s="43">
        <f>'ALL GOVERNMENT FUNDS'!F32</f>
        <v>0</v>
      </c>
      <c r="G44" s="43">
        <f>'ALL GOVERNMENT FUNDS'!G32</f>
        <v>1459235</v>
      </c>
      <c r="H44" s="125">
        <f>SUM(H41:H43)</f>
        <v>0</v>
      </c>
      <c r="I44" s="125">
        <f t="shared" ref="I44:Q44" si="4">SUM(I41:I43)</f>
        <v>0</v>
      </c>
      <c r="J44" s="125">
        <f t="shared" si="4"/>
        <v>-291491</v>
      </c>
      <c r="K44" s="125">
        <f t="shared" si="4"/>
        <v>0</v>
      </c>
      <c r="L44" s="125">
        <f t="shared" si="4"/>
        <v>-1230579</v>
      </c>
      <c r="M44" s="125">
        <f t="shared" si="4"/>
        <v>0</v>
      </c>
      <c r="N44" s="125">
        <f t="shared" si="4"/>
        <v>0</v>
      </c>
      <c r="O44" s="125">
        <f t="shared" si="4"/>
        <v>0</v>
      </c>
      <c r="P44" s="125">
        <f t="shared" si="4"/>
        <v>7871417</v>
      </c>
      <c r="Q44" s="125">
        <f t="shared" si="4"/>
        <v>62835</v>
      </c>
      <c r="R44" s="118">
        <f t="shared" si="2"/>
        <v>7871417</v>
      </c>
      <c r="S44" s="198">
        <f>R44</f>
        <v>7871417</v>
      </c>
    </row>
    <row r="45" spans="1:21" x14ac:dyDescent="0.25">
      <c r="R45" s="117"/>
    </row>
    <row r="46" spans="1:21" x14ac:dyDescent="0.25">
      <c r="A46" s="124" t="str">
        <f>'ALL GOVERNMENT FUNDS'!A34</f>
        <v>Fund Balance</v>
      </c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17"/>
      <c r="S46" s="198">
        <f>S25-S38-S44</f>
        <v>41608488.219999999</v>
      </c>
    </row>
    <row r="47" spans="1:21" x14ac:dyDescent="0.25">
      <c r="A47" t="str">
        <f>'ALL GOVERNMENT FUNDS'!A35</f>
        <v>Reserved:  Program</v>
      </c>
      <c r="B47" s="43">
        <f>'ALL GOVERNMENT FUNDS'!B35</f>
        <v>0</v>
      </c>
      <c r="C47" s="43">
        <f>'ALL GOVERNMENT FUNDS'!C35</f>
        <v>0</v>
      </c>
      <c r="D47" s="43">
        <f>'ALL GOVERNMENT FUNDS'!D35</f>
        <v>0</v>
      </c>
      <c r="E47" s="43">
        <f>'ALL GOVERNMENT FUNDS'!E35</f>
        <v>0</v>
      </c>
      <c r="F47" s="43">
        <f>'ALL GOVERNMENT FUNDS'!F35</f>
        <v>0</v>
      </c>
      <c r="G47" s="43">
        <f>'ALL GOVERNMENT FUNDS'!G35</f>
        <v>0</v>
      </c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17">
        <f t="shared" si="2"/>
        <v>0</v>
      </c>
      <c r="T47" s="66" t="s">
        <v>440</v>
      </c>
    </row>
    <row r="48" spans="1:21" x14ac:dyDescent="0.25">
      <c r="A48" t="str">
        <f>'ALL GOVERNMENT FUNDS'!A36</f>
        <v>Operating Reserve</v>
      </c>
      <c r="B48" s="43">
        <f>'ALL GOVERNMENT FUNDS'!B36</f>
        <v>1514421.05</v>
      </c>
      <c r="C48" s="43">
        <f>'ALL GOVERNMENT FUNDS'!C36</f>
        <v>0</v>
      </c>
      <c r="D48" s="43">
        <f>'ALL GOVERNMENT FUNDS'!D36</f>
        <v>0</v>
      </c>
      <c r="E48" s="43">
        <f>'ALL GOVERNMENT FUNDS'!E36</f>
        <v>0</v>
      </c>
      <c r="F48" s="43">
        <f>'ALL GOVERNMENT FUNDS'!F36</f>
        <v>0</v>
      </c>
      <c r="G48" s="43">
        <f>'ALL GOVERNMENT FUNDS'!G36</f>
        <v>1514421.05</v>
      </c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202">
        <f t="shared" si="2"/>
        <v>1514421.05</v>
      </c>
      <c r="T48" s="75">
        <f>R17</f>
        <v>2159678</v>
      </c>
      <c r="U48" t="s">
        <v>433</v>
      </c>
    </row>
    <row r="49" spans="1:21" x14ac:dyDescent="0.25">
      <c r="A49" t="str">
        <f>'ALL GOVERNMENT FUNDS'!A37</f>
        <v>Human Services</v>
      </c>
      <c r="B49" s="43">
        <f>'ALL GOVERNMENT FUNDS'!B37</f>
        <v>0</v>
      </c>
      <c r="C49" s="43">
        <f>'ALL GOVERNMENT FUNDS'!C37</f>
        <v>0</v>
      </c>
      <c r="D49" s="43">
        <f>'ALL GOVERNMENT FUNDS'!D37</f>
        <v>50214.349999999977</v>
      </c>
      <c r="E49" s="43">
        <f>'ALL GOVERNMENT FUNDS'!E37</f>
        <v>0</v>
      </c>
      <c r="F49" s="43">
        <f>'ALL GOVERNMENT FUNDS'!F37</f>
        <v>40213.879999999997</v>
      </c>
      <c r="G49" s="43">
        <f>'ALL GOVERNMENT FUNDS'!G37</f>
        <v>90428.229999999981</v>
      </c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202">
        <f t="shared" si="2"/>
        <v>90428.229999999981</v>
      </c>
      <c r="T49" s="75">
        <f>S19</f>
        <v>22787304</v>
      </c>
      <c r="U49" t="s">
        <v>434</v>
      </c>
    </row>
    <row r="50" spans="1:21" x14ac:dyDescent="0.25">
      <c r="A50" t="str">
        <f>'ALL GOVERNMENT FUNDS'!A38</f>
        <v>Roads and bridges</v>
      </c>
      <c r="B50" s="43">
        <f>'ALL GOVERNMENT FUNDS'!B38</f>
        <v>0</v>
      </c>
      <c r="C50" s="43">
        <f>'ALL GOVERNMENT FUNDS'!C38</f>
        <v>0</v>
      </c>
      <c r="D50" s="43">
        <f>'ALL GOVERNMENT FUNDS'!D38</f>
        <v>0</v>
      </c>
      <c r="E50" s="43">
        <f>'ALL GOVERNMENT FUNDS'!E38</f>
        <v>0</v>
      </c>
      <c r="F50" s="43">
        <f>'ALL GOVERNMENT FUNDS'!F38</f>
        <v>1390654.04</v>
      </c>
      <c r="G50" s="43">
        <f>'ALL GOVERNMENT FUNDS'!G38</f>
        <v>1390654.04</v>
      </c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202">
        <f t="shared" si="2"/>
        <v>1390654.04</v>
      </c>
      <c r="T50" s="75">
        <f>-R33</f>
        <v>-175198</v>
      </c>
      <c r="U50" t="s">
        <v>435</v>
      </c>
    </row>
    <row r="51" spans="1:21" x14ac:dyDescent="0.25">
      <c r="A51" t="str">
        <f>'ALL GOVERNMENT FUNDS'!A39</f>
        <v>Affordable housing</v>
      </c>
      <c r="B51" s="43">
        <f>'ALL GOVERNMENT FUNDS'!B39</f>
        <v>0</v>
      </c>
      <c r="C51" s="43">
        <f>'ALL GOVERNMENT FUNDS'!C39</f>
        <v>0</v>
      </c>
      <c r="D51" s="43">
        <f>'ALL GOVERNMENT FUNDS'!D39</f>
        <v>0</v>
      </c>
      <c r="E51" s="43">
        <f>'ALL GOVERNMENT FUNDS'!E39</f>
        <v>0</v>
      </c>
      <c r="F51" s="43">
        <f>'ALL GOVERNMENT FUNDS'!F39</f>
        <v>24635.57</v>
      </c>
      <c r="G51" s="43">
        <f>'ALL GOVERNMENT FUNDS'!G39</f>
        <v>24635.57</v>
      </c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202">
        <f t="shared" si="2"/>
        <v>24635.57</v>
      </c>
      <c r="T51" s="75">
        <f>-R34</f>
        <v>-374516</v>
      </c>
      <c r="U51" t="s">
        <v>436</v>
      </c>
    </row>
    <row r="52" spans="1:21" x14ac:dyDescent="0.25">
      <c r="A52" t="str">
        <f>'ALL GOVERNMENT FUNDS'!A42</f>
        <v>Act 13</v>
      </c>
      <c r="B52" s="43">
        <f>'ALL GOVERNMENT FUNDS'!B42</f>
        <v>0</v>
      </c>
      <c r="C52" s="43">
        <f>'ALL GOVERNMENT FUNDS'!C42</f>
        <v>0</v>
      </c>
      <c r="D52" s="43">
        <f>'ALL GOVERNMENT FUNDS'!D42</f>
        <v>0</v>
      </c>
      <c r="E52" s="43">
        <f>'ALL GOVERNMENT FUNDS'!E42</f>
        <v>0</v>
      </c>
      <c r="F52" s="43">
        <f>'ALL GOVERNMENT FUNDS'!F42</f>
        <v>339366.45</v>
      </c>
      <c r="G52" s="43">
        <f>'ALL GOVERNMENT FUNDS'!G42</f>
        <v>339366.45</v>
      </c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202">
        <f t="shared" si="2"/>
        <v>339366.45</v>
      </c>
      <c r="T52" s="75">
        <f>-R35</f>
        <v>0</v>
      </c>
      <c r="U52" t="s">
        <v>437</v>
      </c>
    </row>
    <row r="53" spans="1:21" x14ac:dyDescent="0.25">
      <c r="A53" t="str">
        <f>'ALL GOVERNMENT FUNDS'!A43</f>
        <v>Constable server fees</v>
      </c>
      <c r="B53" s="43">
        <f>'ALL GOVERNMENT FUNDS'!B43</f>
        <v>0</v>
      </c>
      <c r="C53" s="43">
        <f>'ALL GOVERNMENT FUNDS'!C43</f>
        <v>0</v>
      </c>
      <c r="D53" s="43">
        <f>'ALL GOVERNMENT FUNDS'!D43</f>
        <v>0</v>
      </c>
      <c r="E53" s="43">
        <f>'ALL GOVERNMENT FUNDS'!E43</f>
        <v>0</v>
      </c>
      <c r="F53" s="43">
        <f>'ALL GOVERNMENT FUNDS'!F43</f>
        <v>311308.31</v>
      </c>
      <c r="G53" s="43">
        <f>'ALL GOVERNMENT FUNDS'!G43</f>
        <v>311308.31</v>
      </c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202">
        <f t="shared" si="2"/>
        <v>311308.31</v>
      </c>
      <c r="T53" s="75">
        <f>-R36</f>
        <v>0</v>
      </c>
      <c r="U53" t="s">
        <v>438</v>
      </c>
    </row>
    <row r="54" spans="1:21" ht="15.75" thickBot="1" x14ac:dyDescent="0.3">
      <c r="A54" t="str">
        <f>'ALL GOVERNMENT FUNDS'!A44</f>
        <v>Offender identification</v>
      </c>
      <c r="B54" s="43">
        <f>'ALL GOVERNMENT FUNDS'!B44</f>
        <v>0</v>
      </c>
      <c r="C54" s="43">
        <f>'ALL GOVERNMENT FUNDS'!C44</f>
        <v>0</v>
      </c>
      <c r="D54" s="43">
        <f>'ALL GOVERNMENT FUNDS'!D44</f>
        <v>0</v>
      </c>
      <c r="E54" s="43">
        <f>'ALL GOVERNMENT FUNDS'!E44</f>
        <v>0</v>
      </c>
      <c r="F54" s="43">
        <f>'ALL GOVERNMENT FUNDS'!F44</f>
        <v>485843.37</v>
      </c>
      <c r="G54" s="43">
        <f>'ALL GOVERNMENT FUNDS'!G44</f>
        <v>485843.37</v>
      </c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202">
        <f t="shared" si="2"/>
        <v>485843.37</v>
      </c>
      <c r="T54" s="130">
        <f>SUM(T48:T53)</f>
        <v>24397268</v>
      </c>
    </row>
    <row r="55" spans="1:21" ht="15.75" thickTop="1" x14ac:dyDescent="0.25">
      <c r="A55" t="str">
        <f>'ALL GOVERNMENT FUNDS'!A46</f>
        <v>Records improvement/automation</v>
      </c>
      <c r="B55" s="43">
        <f>'ALL GOVERNMENT FUNDS'!B46</f>
        <v>0</v>
      </c>
      <c r="C55" s="43">
        <f>'ALL GOVERNMENT FUNDS'!C46</f>
        <v>0</v>
      </c>
      <c r="D55" s="43">
        <f>'ALL GOVERNMENT FUNDS'!D46</f>
        <v>0</v>
      </c>
      <c r="E55" s="43">
        <f>'ALL GOVERNMENT FUNDS'!E46</f>
        <v>0</v>
      </c>
      <c r="F55" s="43">
        <f>'ALL GOVERNMENT FUNDS'!F46</f>
        <v>53324.049999999996</v>
      </c>
      <c r="G55" s="43">
        <f>'ALL GOVERNMENT FUNDS'!G46</f>
        <v>53324.049999999996</v>
      </c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202">
        <f t="shared" si="2"/>
        <v>53324.049999999996</v>
      </c>
    </row>
    <row r="56" spans="1:21" x14ac:dyDescent="0.25">
      <c r="A56" t="str">
        <f>'ALL GOVERNMENT FUNDS'!A47</f>
        <v>Sugar Valley Lodge</v>
      </c>
      <c r="B56" s="43">
        <f>'ALL GOVERNMENT FUNDS'!B47</f>
        <v>0</v>
      </c>
      <c r="C56" s="43">
        <f>'ALL GOVERNMENT FUNDS'!C47</f>
        <v>0</v>
      </c>
      <c r="D56" s="43">
        <f>'ALL GOVERNMENT FUNDS'!D47</f>
        <v>0</v>
      </c>
      <c r="E56" s="43">
        <f>'ALL GOVERNMENT FUNDS'!E47</f>
        <v>0</v>
      </c>
      <c r="F56" s="43">
        <f>'ALL GOVERNMENT FUNDS'!F47</f>
        <v>136670.46</v>
      </c>
      <c r="G56" s="43">
        <f>'ALL GOVERNMENT FUNDS'!G47</f>
        <v>136670.46</v>
      </c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202">
        <f t="shared" si="2"/>
        <v>136670.46</v>
      </c>
    </row>
    <row r="57" spans="1:21" x14ac:dyDescent="0.25">
      <c r="A57" t="str">
        <f>'ALL GOVERNMENT FUNDS'!A49</f>
        <v>Domestic relations</v>
      </c>
      <c r="B57" s="43">
        <f>'ALL GOVERNMENT FUNDS'!B49</f>
        <v>0</v>
      </c>
      <c r="C57" s="43">
        <f>'ALL GOVERNMENT FUNDS'!C49</f>
        <v>0</v>
      </c>
      <c r="D57" s="43">
        <f>'ALL GOVERNMENT FUNDS'!D49</f>
        <v>0</v>
      </c>
      <c r="E57" s="43">
        <f>'ALL GOVERNMENT FUNDS'!E49</f>
        <v>0</v>
      </c>
      <c r="F57" s="43">
        <f>'ALL GOVERNMENT FUNDS'!F49</f>
        <v>872603.24</v>
      </c>
      <c r="G57" s="43">
        <f>'ALL GOVERNMENT FUNDS'!G49</f>
        <v>872603.24</v>
      </c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202">
        <f t="shared" si="2"/>
        <v>872603.24</v>
      </c>
    </row>
    <row r="58" spans="1:21" x14ac:dyDescent="0.25">
      <c r="A58" t="s">
        <v>441</v>
      </c>
      <c r="B58" s="178">
        <v>0</v>
      </c>
      <c r="C58" s="178">
        <v>0</v>
      </c>
      <c r="D58" s="178">
        <v>0</v>
      </c>
      <c r="E58" s="178">
        <v>0</v>
      </c>
      <c r="F58" s="178">
        <v>0</v>
      </c>
      <c r="G58" s="178">
        <f>SUM(B58:F58)</f>
        <v>0</v>
      </c>
      <c r="H58" s="108"/>
      <c r="I58" s="108"/>
      <c r="J58" s="108"/>
      <c r="K58" s="108"/>
      <c r="L58" s="108"/>
      <c r="M58" s="108"/>
      <c r="N58" s="108"/>
      <c r="O58" s="108"/>
      <c r="P58" s="108"/>
      <c r="Q58" s="75">
        <f>R16</f>
        <v>9136682</v>
      </c>
      <c r="R58" s="152">
        <f t="shared" si="2"/>
        <v>9136682</v>
      </c>
    </row>
    <row r="59" spans="1:21" x14ac:dyDescent="0.25">
      <c r="A59" t="str">
        <f>'ALL GOVERNMENT FUNDS'!A51</f>
        <v>Assigned:</v>
      </c>
      <c r="B59" s="43">
        <f>'ALL GOVERNMENT FUNDS'!B51</f>
        <v>0</v>
      </c>
      <c r="C59" s="43">
        <f>'ALL GOVERNMENT FUNDS'!C51</f>
        <v>0</v>
      </c>
      <c r="D59" s="43">
        <f>'ALL GOVERNMENT FUNDS'!D51</f>
        <v>0</v>
      </c>
      <c r="E59" s="43">
        <f>'ALL GOVERNMENT FUNDS'!E51</f>
        <v>0</v>
      </c>
      <c r="F59" s="43">
        <f>'ALL GOVERNMENT FUNDS'!F51</f>
        <v>0</v>
      </c>
      <c r="G59" s="43">
        <f>'ALL GOVERNMENT FUNDS'!G51</f>
        <v>0</v>
      </c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17">
        <f t="shared" si="2"/>
        <v>0</v>
      </c>
      <c r="T59" s="108">
        <f>R66</f>
        <v>35201601.090000004</v>
      </c>
      <c r="U59" t="s">
        <v>14</v>
      </c>
    </row>
    <row r="60" spans="1:21" x14ac:dyDescent="0.25">
      <c r="A60" s="4" t="str">
        <f>'ALL GOVERNMENT FUNDS'!A52</f>
        <v>Capital Projects</v>
      </c>
      <c r="B60" s="43">
        <f>'ALL GOVERNMENT FUNDS'!B52</f>
        <v>0</v>
      </c>
      <c r="C60" s="43">
        <f>'ALL GOVERNMENT FUNDS'!C52</f>
        <v>0</v>
      </c>
      <c r="D60" s="43">
        <f>'ALL GOVERNMENT FUNDS'!D52</f>
        <v>0</v>
      </c>
      <c r="E60" s="43">
        <f>'ALL GOVERNMENT FUNDS'!E52</f>
        <v>0</v>
      </c>
      <c r="F60" s="43">
        <f>'ALL GOVERNMENT FUNDS'!F52</f>
        <v>0</v>
      </c>
      <c r="G60" s="43">
        <f>'ALL GOVERNMENT FUNDS'!G52</f>
        <v>0</v>
      </c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17">
        <f t="shared" si="2"/>
        <v>0</v>
      </c>
      <c r="T60" s="108">
        <f>R61+R62+R63</f>
        <v>369633.70999999996</v>
      </c>
      <c r="U60" t="s">
        <v>430</v>
      </c>
    </row>
    <row r="61" spans="1:21" x14ac:dyDescent="0.25">
      <c r="A61" s="4" t="str">
        <f>'ALL GOVERNMENT FUNDS'!A53</f>
        <v>Substance Abuse</v>
      </c>
      <c r="B61" s="43">
        <f>'ALL GOVERNMENT FUNDS'!B53</f>
        <v>0</v>
      </c>
      <c r="C61" s="43">
        <f>'ALL GOVERNMENT FUNDS'!C53</f>
        <v>0</v>
      </c>
      <c r="D61" s="43">
        <f>'ALL GOVERNMENT FUNDS'!D53</f>
        <v>295193.39999999997</v>
      </c>
      <c r="E61" s="43">
        <f>'ALL GOVERNMENT FUNDS'!E53</f>
        <v>0</v>
      </c>
      <c r="F61" s="43">
        <f>'ALL GOVERNMENT FUNDS'!F53</f>
        <v>0</v>
      </c>
      <c r="G61" s="43">
        <f>'ALL GOVERNMENT FUNDS'!G53</f>
        <v>295193.39999999997</v>
      </c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17">
        <f t="shared" si="2"/>
        <v>295193.39999999997</v>
      </c>
      <c r="T61" s="108">
        <f>-T54</f>
        <v>-24397268</v>
      </c>
      <c r="U61" t="s">
        <v>431</v>
      </c>
    </row>
    <row r="62" spans="1:21" x14ac:dyDescent="0.25">
      <c r="A62" s="4" t="str">
        <f>'ALL GOVERNMENT FUNDS'!A54</f>
        <v>Airport Operations</v>
      </c>
      <c r="B62" s="43">
        <f>'ALL GOVERNMENT FUNDS'!B54</f>
        <v>0</v>
      </c>
      <c r="C62" s="43">
        <f>'ALL GOVERNMENT FUNDS'!C54</f>
        <v>0</v>
      </c>
      <c r="D62" s="43">
        <f>'ALL GOVERNMENT FUNDS'!D54</f>
        <v>0</v>
      </c>
      <c r="E62" s="43">
        <f>'ALL GOVERNMENT FUNDS'!E54</f>
        <v>0</v>
      </c>
      <c r="F62" s="43">
        <f>'ALL GOVERNMENT FUNDS'!F54</f>
        <v>61256.789999999986</v>
      </c>
      <c r="G62" s="43">
        <f>'ALL GOVERNMENT FUNDS'!G54</f>
        <v>61256.789999999986</v>
      </c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17">
        <f t="shared" si="2"/>
        <v>61256.789999999986</v>
      </c>
      <c r="T62" s="108">
        <f>-R58</f>
        <v>-9136682</v>
      </c>
      <c r="U62" t="s">
        <v>439</v>
      </c>
    </row>
    <row r="63" spans="1:21" x14ac:dyDescent="0.25">
      <c r="A63" s="4" t="str">
        <f>'ALL GOVERNMENT FUNDS'!A55</f>
        <v>Community Action</v>
      </c>
      <c r="B63" s="43">
        <f>'ALL GOVERNMENT FUNDS'!B55</f>
        <v>0</v>
      </c>
      <c r="C63" s="43">
        <f>'ALL GOVERNMENT FUNDS'!C55</f>
        <v>0</v>
      </c>
      <c r="D63" s="43">
        <f>'ALL GOVERNMENT FUNDS'!D55</f>
        <v>0</v>
      </c>
      <c r="E63" s="43">
        <f>'ALL GOVERNMENT FUNDS'!E55</f>
        <v>0</v>
      </c>
      <c r="F63" s="117">
        <f>'ALL GOVERNMENT FUNDS'!F55</f>
        <v>13183.519999999999</v>
      </c>
      <c r="G63" s="43">
        <f>'ALL GOVERNMENT FUNDS'!G55</f>
        <v>13183.519999999999</v>
      </c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17">
        <f t="shared" si="2"/>
        <v>13183.519999999999</v>
      </c>
      <c r="T63" s="108"/>
      <c r="U63" t="s">
        <v>442</v>
      </c>
    </row>
    <row r="64" spans="1:21" x14ac:dyDescent="0.25">
      <c r="A64" t="s">
        <v>426</v>
      </c>
      <c r="B64" s="117">
        <v>0</v>
      </c>
      <c r="C64" s="117">
        <v>0</v>
      </c>
      <c r="D64" s="117">
        <v>0</v>
      </c>
      <c r="E64" s="117">
        <v>0</v>
      </c>
      <c r="F64" s="117">
        <v>0</v>
      </c>
      <c r="G64" s="117"/>
      <c r="H64" s="108"/>
      <c r="I64" s="108"/>
      <c r="J64" s="108"/>
      <c r="K64" s="108"/>
      <c r="L64" s="108"/>
      <c r="M64" s="108"/>
      <c r="N64" s="108"/>
      <c r="O64" s="108"/>
      <c r="P64" s="108"/>
      <c r="Q64" s="75">
        <f>T54</f>
        <v>24397268</v>
      </c>
      <c r="R64" s="208">
        <f>Q64</f>
        <v>24397268</v>
      </c>
      <c r="S64" s="206"/>
      <c r="T64" s="212">
        <f>R103</f>
        <v>579522.06999999867</v>
      </c>
      <c r="U64" t="s">
        <v>432</v>
      </c>
    </row>
    <row r="65" spans="1:21" ht="15.75" thickBot="1" x14ac:dyDescent="0.3">
      <c r="A65" t="s">
        <v>507</v>
      </c>
      <c r="B65" s="43">
        <f>'ALL GOVERNMENT FUNDS'!B56</f>
        <v>0</v>
      </c>
      <c r="C65" s="43">
        <f>'ALL GOVERNMENT FUNDS'!C56</f>
        <v>0</v>
      </c>
      <c r="D65" s="43">
        <f>'ALL GOVERNMENT FUNDS'!D56</f>
        <v>0</v>
      </c>
      <c r="E65" s="43">
        <f>'ALL GOVERNMENT FUNDS'!E56</f>
        <v>0</v>
      </c>
      <c r="F65" s="43">
        <f>'ALL GOVERNMENT FUNDS'!F56</f>
        <v>0</v>
      </c>
      <c r="G65" s="43">
        <f>'ALL GOVERNMENT FUNDS'!F40+'ALL GOVERNMENT FUNDS'!F41+'ALL GOVERNMENT FUNDS'!F45+'ALL GOVERNMENT FUNDS'!F48+'ALL GOVERNMENT FUNDS'!F50</f>
        <v>238471.78</v>
      </c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202">
        <f t="shared" si="2"/>
        <v>238471.78</v>
      </c>
      <c r="T65" s="130">
        <f>T59+T60+T61+T62+T64</f>
        <v>2616806.8700000029</v>
      </c>
    </row>
    <row r="66" spans="1:21" ht="15.75" thickTop="1" x14ac:dyDescent="0.25">
      <c r="A66" t="str">
        <f>'ALL GOVERNMENT FUNDS'!A57</f>
        <v>Unreserved</v>
      </c>
      <c r="B66" s="43">
        <f>'ALL GOVERNMENT FUNDS'!B57</f>
        <v>5486875.2400000002</v>
      </c>
      <c r="C66" s="43">
        <f>'ALL GOVERNMENT FUNDS'!C57</f>
        <v>-139518</v>
      </c>
      <c r="D66" s="43">
        <f>'ALL GOVERNMENT FUNDS'!D57</f>
        <v>0</v>
      </c>
      <c r="E66" s="43">
        <f>'ALL GOVERNMENT FUNDS'!E57</f>
        <v>0</v>
      </c>
      <c r="F66" s="117">
        <f>'ALL GOVERNMENT FUNDS'!F57</f>
        <v>58254.850000000006</v>
      </c>
      <c r="G66" s="43">
        <f>'ALL GOVERNMENT FUNDS'!G57</f>
        <v>5405612.0899999999</v>
      </c>
      <c r="H66" s="108"/>
      <c r="I66" s="108">
        <v>-607066</v>
      </c>
      <c r="J66" s="108">
        <v>279463</v>
      </c>
      <c r="K66" s="108">
        <v>-448133</v>
      </c>
      <c r="L66" s="108">
        <v>1287782</v>
      </c>
      <c r="M66" s="108"/>
      <c r="N66" s="108">
        <v>24778527</v>
      </c>
      <c r="O66" s="108">
        <v>-167675</v>
      </c>
      <c r="P66" s="108">
        <v>4386083</v>
      </c>
      <c r="Q66" s="108">
        <v>287008</v>
      </c>
      <c r="R66" s="117">
        <f t="shared" si="2"/>
        <v>35201601.090000004</v>
      </c>
      <c r="S66" s="196"/>
      <c r="T66" s="198">
        <v>2616810</v>
      </c>
      <c r="U66" s="122">
        <f>T66-T65</f>
        <v>3.1299999970942736</v>
      </c>
    </row>
    <row r="67" spans="1:21" x14ac:dyDescent="0.25">
      <c r="A67" s="66" t="str">
        <f>'ALL GOVERNMENT FUNDS'!A58</f>
        <v>Total Fund Balance</v>
      </c>
      <c r="B67" s="116">
        <f>'ALL GOVERNMENT FUNDS'!B58</f>
        <v>7001296.29</v>
      </c>
      <c r="C67" s="116">
        <f>'ALL GOVERNMENT FUNDS'!C58</f>
        <v>-139518</v>
      </c>
      <c r="D67" s="116">
        <f>'ALL GOVERNMENT FUNDS'!D58</f>
        <v>345407.74999999994</v>
      </c>
      <c r="E67" s="116">
        <f>'ALL GOVERNMENT FUNDS'!E58</f>
        <v>0</v>
      </c>
      <c r="F67" s="116">
        <f>'ALL GOVERNMENT FUNDS'!F58</f>
        <v>4025786.3099999991</v>
      </c>
      <c r="G67" s="116">
        <f>'ALL GOVERNMENT FUNDS'!G58</f>
        <v>11232972.35</v>
      </c>
      <c r="H67" s="125">
        <f t="shared" ref="H67:P67" si="5">SUM(H47:H66)</f>
        <v>0</v>
      </c>
      <c r="I67" s="125">
        <f t="shared" si="5"/>
        <v>-607066</v>
      </c>
      <c r="J67" s="125">
        <f t="shared" si="5"/>
        <v>279463</v>
      </c>
      <c r="K67" s="125">
        <f t="shared" si="5"/>
        <v>-448133</v>
      </c>
      <c r="L67" s="125">
        <f t="shared" si="5"/>
        <v>1287782</v>
      </c>
      <c r="M67" s="125">
        <f t="shared" si="5"/>
        <v>0</v>
      </c>
      <c r="N67" s="125">
        <f t="shared" si="5"/>
        <v>24778527</v>
      </c>
      <c r="O67" s="125">
        <f t="shared" si="5"/>
        <v>-167675</v>
      </c>
      <c r="P67" s="125">
        <f t="shared" si="5"/>
        <v>4386083</v>
      </c>
      <c r="Q67" s="125">
        <f>Q66</f>
        <v>287008</v>
      </c>
      <c r="R67" s="118">
        <f>SUM(G67:Q67)</f>
        <v>41028961.350000001</v>
      </c>
      <c r="S67" s="198">
        <f>R67</f>
        <v>41028961.350000001</v>
      </c>
    </row>
    <row r="68" spans="1:21" x14ac:dyDescent="0.25"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31"/>
      <c r="S68" s="207"/>
      <c r="T68" s="132" t="s">
        <v>443</v>
      </c>
      <c r="U68" s="133"/>
    </row>
    <row r="69" spans="1:21" ht="15.75" thickBot="1" x14ac:dyDescent="0.3">
      <c r="A69" s="66" t="str">
        <f>'ALL GOVERNMENT FUNDS'!A60</f>
        <v>Total Liabilities &amp; Fund Balance</v>
      </c>
      <c r="B69" s="121">
        <f>'ALL GOVERNMENT FUNDS'!B60</f>
        <v>10385016.91</v>
      </c>
      <c r="C69" s="121">
        <f>'ALL GOVERNMENT FUNDS'!C60</f>
        <v>-139518</v>
      </c>
      <c r="D69" s="121">
        <f>'ALL GOVERNMENT FUNDS'!D60</f>
        <v>3669133.24</v>
      </c>
      <c r="E69" s="121">
        <f>'ALL GOVERNMENT FUNDS'!E60</f>
        <v>917625.02</v>
      </c>
      <c r="F69" s="121">
        <f>'ALL GOVERNMENT FUNDS'!F60</f>
        <v>6072417.8500000015</v>
      </c>
      <c r="G69" s="121">
        <f>'ALL GOVERNMENT FUNDS'!G60</f>
        <v>20904675.020000003</v>
      </c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34">
        <f>R67+R44+R38</f>
        <v>57925173.460000001</v>
      </c>
      <c r="S69" s="213">
        <f>S46-S67</f>
        <v>579526.86999999732</v>
      </c>
      <c r="T69" s="135">
        <f>R25</f>
        <v>58504700.330000006</v>
      </c>
      <c r="U69" s="136"/>
    </row>
    <row r="70" spans="1:21" ht="16.5" thickTop="1" thickBot="1" x14ac:dyDescent="0.3">
      <c r="B70" s="43" t="str">
        <f>'ALL GOVERNMENT FUNDS'!B61</f>
        <v>YES</v>
      </c>
      <c r="C70" s="43" t="str">
        <f>'ALL GOVERNMENT FUNDS'!C61</f>
        <v>YES</v>
      </c>
      <c r="D70" s="43" t="str">
        <f>'ALL GOVERNMENT FUNDS'!D61</f>
        <v>YES</v>
      </c>
      <c r="E70" s="43" t="str">
        <f>'ALL GOVERNMENT FUNDS'!E61</f>
        <v>YES</v>
      </c>
      <c r="F70" s="43" t="str">
        <f>'ALL GOVERNMENT FUNDS'!F61</f>
        <v>YES</v>
      </c>
      <c r="G70" s="43" t="str">
        <f>'ALL GOVERNMENT FUNDS'!G61</f>
        <v>YES</v>
      </c>
      <c r="R70" s="117"/>
      <c r="S70" s="198">
        <f>R103-S69</f>
        <v>-4.7999999986495823</v>
      </c>
    </row>
    <row r="71" spans="1:21" ht="15.75" thickBot="1" x14ac:dyDescent="0.3">
      <c r="A71" s="124" t="str">
        <f>'ALL GOVERNMENT FUNDS'!A62</f>
        <v>Revenue</v>
      </c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17"/>
      <c r="S71" s="211">
        <f>S67+S69</f>
        <v>41608488.219999999</v>
      </c>
      <c r="T71" t="s">
        <v>511</v>
      </c>
    </row>
    <row r="72" spans="1:21" x14ac:dyDescent="0.25">
      <c r="A72" t="str">
        <f>'ALL GOVERNMENT FUNDS'!A63</f>
        <v xml:space="preserve">      Taxes</v>
      </c>
      <c r="B72" s="43">
        <f>'ALL GOVERNMENT FUNDS'!B63</f>
        <v>11755541.029999999</v>
      </c>
      <c r="C72" s="43">
        <f>'ALL GOVERNMENT FUNDS'!C63</f>
        <v>0</v>
      </c>
      <c r="D72" s="43">
        <f>'ALL GOVERNMENT FUNDS'!D63</f>
        <v>0</v>
      </c>
      <c r="E72" s="43">
        <f>'ALL GOVERNMENT FUNDS'!E63</f>
        <v>0</v>
      </c>
      <c r="F72" s="43">
        <f>'ALL GOVERNMENT FUNDS'!F63</f>
        <v>0</v>
      </c>
      <c r="G72" s="43">
        <f>'ALL GOVERNMENT FUNDS'!G63</f>
        <v>11755541.029999999</v>
      </c>
      <c r="H72" s="108"/>
      <c r="I72" s="108"/>
      <c r="J72" s="108"/>
      <c r="K72" s="108"/>
      <c r="L72" s="108">
        <v>-57203</v>
      </c>
      <c r="M72" s="108"/>
      <c r="N72" s="108"/>
      <c r="O72" s="108"/>
      <c r="P72" s="108"/>
      <c r="Q72" s="108"/>
      <c r="R72" s="117">
        <f t="shared" si="2"/>
        <v>11698338.029999999</v>
      </c>
    </row>
    <row r="73" spans="1:21" x14ac:dyDescent="0.25">
      <c r="A73" t="str">
        <f>'ALL GOVERNMENT FUNDS'!A64</f>
        <v xml:space="preserve">      Licenses</v>
      </c>
      <c r="B73" s="43">
        <f>'ALL GOVERNMENT FUNDS'!B64</f>
        <v>49720</v>
      </c>
      <c r="C73" s="43">
        <f>'ALL GOVERNMENT FUNDS'!C64</f>
        <v>0</v>
      </c>
      <c r="D73" s="43">
        <f>'ALL GOVERNMENT FUNDS'!D64</f>
        <v>0</v>
      </c>
      <c r="E73" s="43">
        <f>'ALL GOVERNMENT FUNDS'!E64</f>
        <v>0</v>
      </c>
      <c r="F73" s="43">
        <f>'ALL GOVERNMENT FUNDS'!F64</f>
        <v>0</v>
      </c>
      <c r="G73" s="43">
        <f>'ALL GOVERNMENT FUNDS'!G64</f>
        <v>49720</v>
      </c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17">
        <f t="shared" si="2"/>
        <v>49720</v>
      </c>
    </row>
    <row r="74" spans="1:21" x14ac:dyDescent="0.25">
      <c r="A74" t="str">
        <f>'ALL GOVERNMENT FUNDS'!A65</f>
        <v>Intergovermental</v>
      </c>
      <c r="B74" s="43">
        <f>'ALL GOVERNMENT FUNDS'!B65</f>
        <v>1728287.25</v>
      </c>
      <c r="C74" s="43">
        <f>'ALL GOVERNMENT FUNDS'!C65</f>
        <v>0</v>
      </c>
      <c r="D74" s="43">
        <f>'ALL GOVERNMENT FUNDS'!D65</f>
        <v>17031977.220000003</v>
      </c>
      <c r="E74" s="43">
        <f>'ALL GOVERNMENT FUNDS'!E65</f>
        <v>10046955.27</v>
      </c>
      <c r="F74" s="43">
        <f>'ALL GOVERNMENT FUNDS'!F65</f>
        <v>7270149.8600000003</v>
      </c>
      <c r="G74" s="43">
        <f>'ALL GOVERNMENT FUNDS'!G65</f>
        <v>36077369.600000001</v>
      </c>
      <c r="H74" s="108"/>
      <c r="I74" s="108"/>
      <c r="J74" s="108"/>
      <c r="K74" s="108"/>
      <c r="L74" s="108"/>
      <c r="M74" s="108">
        <v>247508</v>
      </c>
      <c r="N74" s="108"/>
      <c r="O74" s="108"/>
      <c r="P74" s="108"/>
      <c r="Q74" s="108"/>
      <c r="R74" s="117">
        <f t="shared" si="2"/>
        <v>36324877.600000001</v>
      </c>
    </row>
    <row r="75" spans="1:21" x14ac:dyDescent="0.25">
      <c r="A75" t="str">
        <f>'ALL GOVERNMENT FUNDS'!A66</f>
        <v>Charges for Services</v>
      </c>
      <c r="B75" s="43">
        <f>'ALL GOVERNMENT FUNDS'!B66</f>
        <v>2322656.7199999997</v>
      </c>
      <c r="C75" s="43">
        <f>'ALL GOVERNMENT FUNDS'!C66</f>
        <v>0</v>
      </c>
      <c r="D75" s="43">
        <f>'ALL GOVERNMENT FUNDS'!D66</f>
        <v>120623.77</v>
      </c>
      <c r="E75" s="43">
        <f>'ALL GOVERNMENT FUNDS'!E66</f>
        <v>7742.4699999999721</v>
      </c>
      <c r="F75" s="43">
        <f>'ALL GOVERNMENT FUNDS'!F66</f>
        <v>713804.5</v>
      </c>
      <c r="G75" s="43">
        <f>'ALL GOVERNMENT FUNDS'!G66</f>
        <v>3164827.46</v>
      </c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17">
        <f t="shared" si="2"/>
        <v>3164827.46</v>
      </c>
    </row>
    <row r="76" spans="1:21" x14ac:dyDescent="0.25">
      <c r="A76" t="str">
        <f>'ALL GOVERNMENT FUNDS'!A67</f>
        <v>Fines and Forfeits</v>
      </c>
      <c r="B76" s="43">
        <f>'ALL GOVERNMENT FUNDS'!B67</f>
        <v>135423.06</v>
      </c>
      <c r="C76" s="43">
        <f>'ALL GOVERNMENT FUNDS'!C67</f>
        <v>0</v>
      </c>
      <c r="D76" s="43">
        <f>'ALL GOVERNMENT FUNDS'!D67</f>
        <v>234988.94999999998</v>
      </c>
      <c r="E76" s="43">
        <f>'ALL GOVERNMENT FUNDS'!E67</f>
        <v>0</v>
      </c>
      <c r="F76" s="43">
        <f>'ALL GOVERNMENT FUNDS'!F67</f>
        <v>0</v>
      </c>
      <c r="G76" s="43">
        <f>'ALL GOVERNMENT FUNDS'!G67</f>
        <v>370412.01</v>
      </c>
      <c r="H76" s="108"/>
      <c r="I76" s="108"/>
      <c r="J76" s="108">
        <v>12028</v>
      </c>
      <c r="K76" s="108"/>
      <c r="L76" s="108"/>
      <c r="M76" s="108"/>
      <c r="N76" s="108"/>
      <c r="O76" s="108"/>
      <c r="P76" s="108"/>
      <c r="Q76" s="108"/>
      <c r="R76" s="117">
        <f t="shared" si="2"/>
        <v>382440.01</v>
      </c>
    </row>
    <row r="77" spans="1:21" x14ac:dyDescent="0.25">
      <c r="A77" t="str">
        <f>'ALL GOVERNMENT FUNDS'!A68</f>
        <v>Interest</v>
      </c>
      <c r="B77" s="43">
        <f>'ALL GOVERNMENT FUNDS'!B68</f>
        <v>16536.66</v>
      </c>
      <c r="C77" s="43">
        <f>'ALL GOVERNMENT FUNDS'!C68</f>
        <v>570.84</v>
      </c>
      <c r="D77" s="43">
        <f>'ALL GOVERNMENT FUNDS'!D68</f>
        <v>6461.85</v>
      </c>
      <c r="E77" s="43">
        <f>'ALL GOVERNMENT FUNDS'!E68</f>
        <v>0</v>
      </c>
      <c r="F77" s="43">
        <f>'ALL GOVERNMENT FUNDS'!F68</f>
        <v>25978.52</v>
      </c>
      <c r="G77" s="43">
        <f>'ALL GOVERNMENT FUNDS'!G68</f>
        <v>49547.869999999995</v>
      </c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17">
        <f t="shared" si="2"/>
        <v>49547.869999999995</v>
      </c>
    </row>
    <row r="78" spans="1:21" x14ac:dyDescent="0.25">
      <c r="A78" t="str">
        <f>'ALL GOVERNMENT FUNDS'!A69</f>
        <v>Lease Revenue</v>
      </c>
      <c r="B78" s="43">
        <f>'ALL GOVERNMENT FUNDS'!B69</f>
        <v>0</v>
      </c>
      <c r="C78" s="43">
        <f>'ALL GOVERNMENT FUNDS'!C69</f>
        <v>0</v>
      </c>
      <c r="D78" s="43">
        <f>'ALL GOVERNMENT FUNDS'!D69</f>
        <v>0</v>
      </c>
      <c r="E78" s="43">
        <f>'ALL GOVERNMENT FUNDS'!E69</f>
        <v>0</v>
      </c>
      <c r="F78" s="43">
        <f>'ALL GOVERNMENT FUNDS'!F69</f>
        <v>0</v>
      </c>
      <c r="G78" s="43">
        <f>'ALL GOVERNMENT FUNDS'!G69</f>
        <v>0</v>
      </c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17">
        <f t="shared" si="2"/>
        <v>0</v>
      </c>
    </row>
    <row r="79" spans="1:21" x14ac:dyDescent="0.25">
      <c r="A79" t="str">
        <f>'ALL GOVERNMENT FUNDS'!A70</f>
        <v>Other</v>
      </c>
      <c r="B79" s="43">
        <f>'ALL GOVERNMENT FUNDS'!B70</f>
        <v>135564.32</v>
      </c>
      <c r="C79" s="43">
        <f>'ALL GOVERNMENT FUNDS'!C70</f>
        <v>0</v>
      </c>
      <c r="D79" s="43">
        <f>'ALL GOVERNMENT FUNDS'!D70</f>
        <v>314353.3</v>
      </c>
      <c r="E79" s="43">
        <f>'ALL GOVERNMENT FUNDS'!E70</f>
        <v>0</v>
      </c>
      <c r="F79" s="43">
        <f>'ALL GOVERNMENT FUNDS'!F70</f>
        <v>8384.57</v>
      </c>
      <c r="G79" s="43">
        <f>'ALL GOVERNMENT FUNDS'!G70</f>
        <v>458302.19</v>
      </c>
      <c r="H79" s="108"/>
      <c r="I79" s="108"/>
      <c r="J79" s="108"/>
      <c r="K79" s="108"/>
      <c r="L79" s="108"/>
      <c r="M79" s="108">
        <v>-247508</v>
      </c>
      <c r="N79" s="108"/>
      <c r="O79" s="108"/>
      <c r="P79" s="108"/>
      <c r="Q79" s="108"/>
      <c r="R79" s="117">
        <f t="shared" si="2"/>
        <v>210794.19</v>
      </c>
      <c r="S79" s="198">
        <f>SUM(R72:R79)</f>
        <v>51880545.159999996</v>
      </c>
    </row>
    <row r="80" spans="1:21" x14ac:dyDescent="0.25">
      <c r="A80" s="66" t="str">
        <f>'ALL GOVERNMENT FUNDS'!A71</f>
        <v>Total Revenues</v>
      </c>
      <c r="B80" s="116">
        <f>'ALL GOVERNMENT FUNDS'!B71</f>
        <v>16143729.040000001</v>
      </c>
      <c r="C80" s="116">
        <f>'ALL GOVERNMENT FUNDS'!C71</f>
        <v>570.84</v>
      </c>
      <c r="D80" s="116">
        <f>'ALL GOVERNMENT FUNDS'!D71</f>
        <v>17708405.09</v>
      </c>
      <c r="E80" s="116">
        <f>'ALL GOVERNMENT FUNDS'!E71</f>
        <v>10054697.74</v>
      </c>
      <c r="F80" s="116">
        <f>'ALL GOVERNMENT FUNDS'!F71</f>
        <v>8018317.4499999993</v>
      </c>
      <c r="G80" s="116">
        <f>'ALL GOVERNMENT FUNDS'!G71</f>
        <v>51925720.159999996</v>
      </c>
      <c r="H80" s="123">
        <f>SUM(H72:H79)</f>
        <v>0</v>
      </c>
      <c r="I80" s="123">
        <f t="shared" ref="I80:Q80" si="6">SUM(I72:I79)</f>
        <v>0</v>
      </c>
      <c r="J80" s="123">
        <f t="shared" si="6"/>
        <v>12028</v>
      </c>
      <c r="K80" s="123">
        <f t="shared" si="6"/>
        <v>0</v>
      </c>
      <c r="L80" s="123">
        <f t="shared" si="6"/>
        <v>-57203</v>
      </c>
      <c r="M80" s="123">
        <f t="shared" si="6"/>
        <v>0</v>
      </c>
      <c r="N80" s="123">
        <f t="shared" si="6"/>
        <v>0</v>
      </c>
      <c r="O80" s="123">
        <f t="shared" si="6"/>
        <v>0</v>
      </c>
      <c r="P80" s="123">
        <f t="shared" si="6"/>
        <v>0</v>
      </c>
      <c r="Q80" s="123">
        <f t="shared" si="6"/>
        <v>0</v>
      </c>
      <c r="R80" s="118">
        <f t="shared" si="2"/>
        <v>51880545.159999996</v>
      </c>
      <c r="T80" s="6"/>
    </row>
    <row r="81" spans="1:20" x14ac:dyDescent="0.25">
      <c r="R81" s="117"/>
    </row>
    <row r="82" spans="1:20" x14ac:dyDescent="0.25">
      <c r="A82" s="124" t="str">
        <f>'ALL GOVERNMENT FUNDS'!A73</f>
        <v>Expenditures</v>
      </c>
      <c r="R82" s="117"/>
    </row>
    <row r="83" spans="1:20" x14ac:dyDescent="0.25">
      <c r="A83" t="str">
        <f>'ALL GOVERNMENT FUNDS'!A74</f>
        <v>General gvt - administration</v>
      </c>
      <c r="B83" s="43">
        <f>'ALL GOVERNMENT FUNDS'!B74</f>
        <v>6865075.5</v>
      </c>
      <c r="C83" s="43">
        <f>'ALL GOVERNMENT FUNDS'!C74</f>
        <v>382039</v>
      </c>
      <c r="D83" s="43">
        <f>'ALL GOVERNMENT FUNDS'!D74</f>
        <v>0</v>
      </c>
      <c r="E83" s="43">
        <f>'ALL GOVERNMENT FUNDS'!E74</f>
        <v>0</v>
      </c>
      <c r="F83" s="43">
        <f>'ALL GOVERNMENT FUNDS'!F74</f>
        <v>26412.14</v>
      </c>
      <c r="G83" s="43">
        <f>'ALL GOVERNMENT FUNDS'!G74</f>
        <v>7273526.6399999997</v>
      </c>
      <c r="H83" s="108"/>
      <c r="I83" s="108">
        <v>-3421</v>
      </c>
      <c r="J83" s="108"/>
      <c r="K83" s="108">
        <v>-33133</v>
      </c>
      <c r="L83" s="108"/>
      <c r="M83" s="108"/>
      <c r="N83" s="108">
        <f>349785-690490</f>
        <v>-340705</v>
      </c>
      <c r="O83" s="108"/>
      <c r="P83" s="108">
        <v>-330555</v>
      </c>
      <c r="Q83" s="108"/>
      <c r="R83" s="117">
        <f t="shared" si="2"/>
        <v>6565712.6399999997</v>
      </c>
    </row>
    <row r="84" spans="1:20" x14ac:dyDescent="0.25">
      <c r="A84" t="str">
        <f>'ALL GOVERNMENT FUNDS'!A75</f>
        <v>General gvt - judicial</v>
      </c>
      <c r="B84" s="43">
        <f>'ALL GOVERNMENT FUNDS'!B75</f>
        <v>3355865.4000000004</v>
      </c>
      <c r="C84" s="43">
        <f>'ALL GOVERNMENT FUNDS'!C75</f>
        <v>0</v>
      </c>
      <c r="D84" s="43">
        <f>'ALL GOVERNMENT FUNDS'!D75</f>
        <v>0</v>
      </c>
      <c r="E84" s="43">
        <f>'ALL GOVERNMENT FUNDS'!E75</f>
        <v>0</v>
      </c>
      <c r="F84" s="43">
        <f>'ALL GOVERNMENT FUNDS'!F75</f>
        <v>582577.77</v>
      </c>
      <c r="G84" s="43">
        <f>'ALL GOVERNMENT FUNDS'!G75</f>
        <v>3938443.1700000004</v>
      </c>
      <c r="H84" s="108"/>
      <c r="I84" s="108">
        <v>-3623</v>
      </c>
      <c r="J84" s="108"/>
      <c r="K84" s="108"/>
      <c r="L84" s="108"/>
      <c r="M84" s="108"/>
      <c r="N84" s="108">
        <v>72996</v>
      </c>
      <c r="O84" s="108"/>
      <c r="P84" s="108"/>
      <c r="Q84" s="108"/>
      <c r="R84" s="117">
        <f t="shared" si="2"/>
        <v>4007816.1700000004</v>
      </c>
    </row>
    <row r="85" spans="1:20" x14ac:dyDescent="0.25">
      <c r="A85" t="str">
        <f>'ALL GOVERNMENT FUNDS'!A76</f>
        <v>Public safety</v>
      </c>
      <c r="B85" s="43">
        <f>'ALL GOVERNMENT FUNDS'!B76</f>
        <v>4405519.46</v>
      </c>
      <c r="C85" s="43">
        <f>'ALL GOVERNMENT FUNDS'!C76</f>
        <v>0</v>
      </c>
      <c r="D85" s="43">
        <f>'ALL GOVERNMENT FUNDS'!D76</f>
        <v>0</v>
      </c>
      <c r="E85" s="43">
        <f>'ALL GOVERNMENT FUNDS'!E76</f>
        <v>0</v>
      </c>
      <c r="F85" s="43">
        <f>'ALL GOVERNMENT FUNDS'!F76</f>
        <v>2674400.85</v>
      </c>
      <c r="G85" s="43">
        <f>'ALL GOVERNMENT FUNDS'!G76</f>
        <v>7079920.3100000005</v>
      </c>
      <c r="H85" s="108"/>
      <c r="I85" s="108">
        <v>-4025</v>
      </c>
      <c r="J85" s="108"/>
      <c r="K85" s="108"/>
      <c r="L85" s="108"/>
      <c r="M85" s="108"/>
      <c r="N85" s="108">
        <f>349317-435795</f>
        <v>-86478</v>
      </c>
      <c r="O85" s="108"/>
      <c r="P85" s="108">
        <v>-298422</v>
      </c>
      <c r="Q85" s="108">
        <v>29919</v>
      </c>
      <c r="R85" s="48">
        <f t="shared" si="2"/>
        <v>6720914.3100000005</v>
      </c>
    </row>
    <row r="86" spans="1:20" x14ac:dyDescent="0.25">
      <c r="A86" t="str">
        <f>'ALL GOVERNMENT FUNDS'!A77</f>
        <v>Public works and enterprises</v>
      </c>
      <c r="B86" s="43">
        <f>'ALL GOVERNMENT FUNDS'!B77</f>
        <v>457124.57</v>
      </c>
      <c r="C86" s="43">
        <f>'ALL GOVERNMENT FUNDS'!C77</f>
        <v>0</v>
      </c>
      <c r="D86" s="43">
        <f>'ALL GOVERNMENT FUNDS'!D77</f>
        <v>0</v>
      </c>
      <c r="E86" s="43">
        <f>'ALL GOVERNMENT FUNDS'!E77</f>
        <v>0</v>
      </c>
      <c r="F86" s="43">
        <f>'ALL GOVERNMENT FUNDS'!F77</f>
        <v>1040984.73</v>
      </c>
      <c r="G86" s="43">
        <f>'ALL GOVERNMENT FUNDS'!G77</f>
        <v>1498109.3</v>
      </c>
      <c r="H86" s="108"/>
      <c r="I86" s="108">
        <v>-403</v>
      </c>
      <c r="J86" s="108"/>
      <c r="K86" s="108"/>
      <c r="L86" s="108"/>
      <c r="M86" s="108"/>
      <c r="N86" s="108">
        <f>520669-404571</f>
        <v>116098</v>
      </c>
      <c r="O86" s="108"/>
      <c r="P86" s="108"/>
      <c r="Q86" s="108"/>
      <c r="R86" s="48">
        <f t="shared" si="2"/>
        <v>1613804.3</v>
      </c>
    </row>
    <row r="87" spans="1:20" x14ac:dyDescent="0.25">
      <c r="A87" t="str">
        <f>'ALL GOVERNMENT FUNDS'!A78</f>
        <v>Human services</v>
      </c>
      <c r="B87" s="43">
        <f>'ALL GOVERNMENT FUNDS'!B78</f>
        <v>106092.83</v>
      </c>
      <c r="C87" s="43">
        <f>'ALL GOVERNMENT FUNDS'!C78</f>
        <v>0</v>
      </c>
      <c r="D87" s="43">
        <f>'ALL GOVERNMENT FUNDS'!D78</f>
        <v>18096573.899999999</v>
      </c>
      <c r="E87" s="43">
        <f>'ALL GOVERNMENT FUNDS'!E78</f>
        <v>9904697.7400000002</v>
      </c>
      <c r="F87" s="43">
        <f>'ALL GOVERNMENT FUNDS'!F78</f>
        <v>2869618.1399999997</v>
      </c>
      <c r="G87" s="43">
        <f>'ALL GOVERNMENT FUNDS'!G78</f>
        <v>30976982.609999999</v>
      </c>
      <c r="H87" s="108"/>
      <c r="I87" s="108">
        <v>-8453</v>
      </c>
      <c r="J87" s="108"/>
      <c r="K87" s="108"/>
      <c r="L87" s="108"/>
      <c r="M87" s="108"/>
      <c r="N87" s="108">
        <f>317107-285699</f>
        <v>31408</v>
      </c>
      <c r="O87" s="108"/>
      <c r="P87" s="108">
        <v>-8568</v>
      </c>
      <c r="Q87" s="108">
        <v>3713</v>
      </c>
      <c r="R87" s="117">
        <f t="shared" si="2"/>
        <v>30995082.609999999</v>
      </c>
    </row>
    <row r="88" spans="1:20" x14ac:dyDescent="0.25">
      <c r="A88" t="str">
        <f>'ALL GOVERNMENT FUNDS'!A79</f>
        <v>Conservation and development</v>
      </c>
      <c r="B88" s="43">
        <f>'ALL GOVERNMENT FUNDS'!B79</f>
        <v>631691.02</v>
      </c>
      <c r="C88" s="43">
        <f>'ALL GOVERNMENT FUNDS'!C79</f>
        <v>0</v>
      </c>
      <c r="D88" s="43">
        <f>'ALL GOVERNMENT FUNDS'!D79</f>
        <v>0</v>
      </c>
      <c r="E88" s="43">
        <f>'ALL GOVERNMENT FUNDS'!E79</f>
        <v>0</v>
      </c>
      <c r="F88" s="43">
        <f>'ALL GOVERNMENT FUNDS'!F79</f>
        <v>499209.68</v>
      </c>
      <c r="G88" s="43">
        <f>'ALL GOVERNMENT FUNDS'!G79</f>
        <v>1130900.7</v>
      </c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17">
        <f t="shared" si="2"/>
        <v>1130900.7</v>
      </c>
    </row>
    <row r="89" spans="1:20" x14ac:dyDescent="0.25">
      <c r="A89" t="str">
        <f>'ALL GOVERNMENT FUNDS'!A80</f>
        <v>Culture &amp; Recreation</v>
      </c>
      <c r="B89" s="43">
        <f>'ALL GOVERNMENT FUNDS'!B80</f>
        <v>307701.96999999997</v>
      </c>
      <c r="C89" s="43">
        <f>'ALL GOVERNMENT FUNDS'!C80</f>
        <v>0</v>
      </c>
      <c r="D89" s="43">
        <f>'ALL GOVERNMENT FUNDS'!D80</f>
        <v>0</v>
      </c>
      <c r="E89" s="43">
        <f>'ALL GOVERNMENT FUNDS'!E80</f>
        <v>0</v>
      </c>
      <c r="F89" s="43">
        <f>'ALL GOVERNMENT FUNDS'!F80</f>
        <v>0</v>
      </c>
      <c r="G89" s="43">
        <f>'ALL GOVERNMENT FUNDS'!G80</f>
        <v>307701.96999999997</v>
      </c>
      <c r="H89" s="108"/>
      <c r="I89" s="108">
        <v>-201</v>
      </c>
      <c r="J89" s="108"/>
      <c r="K89" s="108"/>
      <c r="L89" s="108"/>
      <c r="M89" s="108"/>
      <c r="N89" s="108">
        <f>42910-38316</f>
        <v>4594</v>
      </c>
      <c r="O89" s="108"/>
      <c r="P89" s="108">
        <v>-19484</v>
      </c>
      <c r="Q89" s="108"/>
      <c r="R89" s="117">
        <f t="shared" si="2"/>
        <v>292610.96999999997</v>
      </c>
    </row>
    <row r="90" spans="1:20" x14ac:dyDescent="0.25">
      <c r="A90" t="str">
        <f>'ALL GOVERNMENT FUNDS'!A81</f>
        <v>Debt Service &amp; Capital Outlay</v>
      </c>
      <c r="B90" s="43">
        <f>'ALL GOVERNMENT FUNDS'!B81</f>
        <v>0</v>
      </c>
      <c r="C90" s="43">
        <f>'ALL GOVERNMENT FUNDS'!C81</f>
        <v>588547</v>
      </c>
      <c r="D90" s="43">
        <f>'ALL GOVERNMENT FUNDS'!D81</f>
        <v>0</v>
      </c>
      <c r="E90" s="43">
        <f>'ALL GOVERNMENT FUNDS'!E81</f>
        <v>0</v>
      </c>
      <c r="F90" s="43">
        <f>'ALL GOVERNMENT FUNDS'!F81</f>
        <v>0</v>
      </c>
      <c r="G90" s="43">
        <f>'ALL GOVERNMENT FUNDS'!G81</f>
        <v>588547</v>
      </c>
      <c r="H90" s="108"/>
      <c r="I90" s="108"/>
      <c r="J90" s="108"/>
      <c r="K90" s="108">
        <v>-415000</v>
      </c>
      <c r="L90" s="108"/>
      <c r="M90" s="108"/>
      <c r="N90" s="108"/>
      <c r="O90" s="108">
        <v>-169397</v>
      </c>
      <c r="P90" s="108"/>
      <c r="Q90" s="108"/>
      <c r="R90" s="117">
        <f t="shared" si="2"/>
        <v>4150</v>
      </c>
      <c r="S90" s="198">
        <f>SUM(R83:R90)</f>
        <v>51330991.700000003</v>
      </c>
    </row>
    <row r="91" spans="1:20" x14ac:dyDescent="0.25">
      <c r="A91" s="66" t="str">
        <f>'ALL GOVERNMENT FUNDS'!A82</f>
        <v>Total Expenditures</v>
      </c>
      <c r="B91" s="116">
        <f>'ALL GOVERNMENT FUNDS'!B82</f>
        <v>16129070.75</v>
      </c>
      <c r="C91" s="116">
        <f>'ALL GOVERNMENT FUNDS'!C82</f>
        <v>970586</v>
      </c>
      <c r="D91" s="116">
        <f>'ALL GOVERNMENT FUNDS'!D82</f>
        <v>18096573.899999999</v>
      </c>
      <c r="E91" s="116">
        <f>'ALL GOVERNMENT FUNDS'!E82</f>
        <v>9904697.7400000002</v>
      </c>
      <c r="F91" s="116">
        <f>'ALL GOVERNMENT FUNDS'!F82</f>
        <v>7693203.3100000005</v>
      </c>
      <c r="G91" s="116">
        <f>'ALL GOVERNMENT FUNDS'!G82</f>
        <v>52794131.700000003</v>
      </c>
      <c r="H91" s="116">
        <f>SUM(H83:H90)</f>
        <v>0</v>
      </c>
      <c r="I91" s="116">
        <f t="shared" ref="I91:Q91" si="7">SUM(I83:I90)</f>
        <v>-20126</v>
      </c>
      <c r="J91" s="116">
        <f t="shared" si="7"/>
        <v>0</v>
      </c>
      <c r="K91" s="116">
        <f t="shared" si="7"/>
        <v>-448133</v>
      </c>
      <c r="L91" s="116">
        <f t="shared" si="7"/>
        <v>0</v>
      </c>
      <c r="M91" s="116">
        <f t="shared" si="7"/>
        <v>0</v>
      </c>
      <c r="N91" s="116">
        <f t="shared" si="7"/>
        <v>-202087</v>
      </c>
      <c r="O91" s="116">
        <f t="shared" si="7"/>
        <v>-169397</v>
      </c>
      <c r="P91" s="116">
        <f t="shared" si="7"/>
        <v>-657029</v>
      </c>
      <c r="Q91" s="116">
        <f t="shared" si="7"/>
        <v>33632</v>
      </c>
      <c r="R91" s="118">
        <f t="shared" si="2"/>
        <v>51330991.700000003</v>
      </c>
      <c r="T91" s="43"/>
    </row>
    <row r="92" spans="1:20" x14ac:dyDescent="0.25">
      <c r="R92" s="117"/>
    </row>
    <row r="93" spans="1:20" x14ac:dyDescent="0.25">
      <c r="A93" s="66" t="str">
        <f>'ALL GOVERNMENT FUNDS'!A84</f>
        <v>Excess (Deficiency)</v>
      </c>
      <c r="B93" s="127">
        <f>'ALL GOVERNMENT FUNDS'!B84</f>
        <v>14658.290000000969</v>
      </c>
      <c r="C93" s="127">
        <f>'ALL GOVERNMENT FUNDS'!C84</f>
        <v>-970015.15999999992</v>
      </c>
      <c r="D93" s="127">
        <f>'ALL GOVERNMENT FUNDS'!D84</f>
        <v>-388168.80999999959</v>
      </c>
      <c r="E93" s="127">
        <f>'ALL GOVERNMENT FUNDS'!E84</f>
        <v>150000</v>
      </c>
      <c r="F93" s="127">
        <f>'ALL GOVERNMENT FUNDS'!F84</f>
        <v>325114.13999999966</v>
      </c>
      <c r="G93" s="127">
        <f>'ALL GOVERNMENT FUNDS'!G84</f>
        <v>-868411.53999999887</v>
      </c>
      <c r="H93" s="127">
        <f>H80-H91</f>
        <v>0</v>
      </c>
      <c r="I93" s="170">
        <f t="shared" ref="I93:Q93" si="8">I80-I91</f>
        <v>20126</v>
      </c>
      <c r="J93" s="170">
        <f t="shared" si="8"/>
        <v>12028</v>
      </c>
      <c r="K93" s="127">
        <f t="shared" si="8"/>
        <v>448133</v>
      </c>
      <c r="L93" s="170">
        <f t="shared" si="8"/>
        <v>-57203</v>
      </c>
      <c r="M93" s="127">
        <f t="shared" si="8"/>
        <v>0</v>
      </c>
      <c r="N93" s="127">
        <f t="shared" si="8"/>
        <v>202087</v>
      </c>
      <c r="O93" s="127">
        <f t="shared" si="8"/>
        <v>169397</v>
      </c>
      <c r="P93" s="170">
        <f t="shared" si="8"/>
        <v>657029</v>
      </c>
      <c r="Q93" s="127">
        <f t="shared" si="8"/>
        <v>-33632</v>
      </c>
      <c r="R93" s="126">
        <f t="shared" ref="R93:R101" si="9">SUM(G93:Q93)</f>
        <v>549553.46000000113</v>
      </c>
      <c r="S93" s="198">
        <f>S79-S90</f>
        <v>549553.45999999344</v>
      </c>
    </row>
    <row r="94" spans="1:20" x14ac:dyDescent="0.25">
      <c r="R94" s="117"/>
    </row>
    <row r="95" spans="1:20" x14ac:dyDescent="0.25">
      <c r="A95" t="str">
        <f>'ALL GOVERNMENT FUNDS'!A86</f>
        <v>Sale of Fixed Assets</v>
      </c>
      <c r="B95" s="43">
        <f>'ALL GOVERNMENT FUNDS'!B86</f>
        <v>9448.61</v>
      </c>
      <c r="C95" s="43">
        <f>'ALL GOVERNMENT FUNDS'!C86</f>
        <v>0</v>
      </c>
      <c r="D95" s="43">
        <f>'ALL GOVERNMENT FUNDS'!D86</f>
        <v>20520</v>
      </c>
      <c r="E95" s="43">
        <f>'ALL GOVERNMENT FUNDS'!E86</f>
        <v>0</v>
      </c>
      <c r="F95" s="43">
        <f>'ALL GOVERNMENT FUNDS'!F86</f>
        <v>0</v>
      </c>
      <c r="G95" s="117">
        <f>'ALL GOVERNMENT FUNDS'!G86</f>
        <v>29968.61</v>
      </c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17">
        <f t="shared" si="9"/>
        <v>29968.61</v>
      </c>
      <c r="S95" s="198">
        <f>R95</f>
        <v>29968.61</v>
      </c>
    </row>
    <row r="96" spans="1:20" x14ac:dyDescent="0.25">
      <c r="A96" t="str">
        <f>'ALL GOVERNMENT FUNDS'!A87</f>
        <v>Proceeds from capital leases</v>
      </c>
      <c r="B96" s="43">
        <f>'ALL GOVERNMENT FUNDS'!B87</f>
        <v>0</v>
      </c>
      <c r="C96" s="43">
        <f>'ALL GOVERNMENT FUNDS'!C87</f>
        <v>551436</v>
      </c>
      <c r="D96" s="43">
        <f>'ALL GOVERNMENT FUNDS'!D87</f>
        <v>0</v>
      </c>
      <c r="E96" s="43">
        <f>'ALL GOVERNMENT FUNDS'!E87</f>
        <v>0</v>
      </c>
      <c r="F96" s="43">
        <f>'ALL GOVERNMENT FUNDS'!F87</f>
        <v>0</v>
      </c>
      <c r="G96" s="43">
        <f>'ALL GOVERNMENT FUNDS'!G87</f>
        <v>551436</v>
      </c>
      <c r="H96" s="108"/>
      <c r="I96" s="108"/>
      <c r="J96" s="108"/>
      <c r="K96" s="108"/>
      <c r="L96" s="108"/>
      <c r="M96" s="108"/>
      <c r="N96" s="108"/>
      <c r="O96" s="108">
        <v>-551436</v>
      </c>
      <c r="P96" s="108"/>
      <c r="Q96" s="108"/>
      <c r="R96" s="117">
        <f t="shared" si="9"/>
        <v>0</v>
      </c>
    </row>
    <row r="97" spans="1:19" x14ac:dyDescent="0.25">
      <c r="A97" t="str">
        <f>'ALL GOVERNMENT FUNDS'!A88</f>
        <v>Premium on refunding bonds</v>
      </c>
      <c r="B97" s="43">
        <f>'ALL GOVERNMENT FUNDS'!B88</f>
        <v>0</v>
      </c>
      <c r="C97" s="43">
        <f>'ALL GOVERNMENT FUNDS'!C88</f>
        <v>0</v>
      </c>
      <c r="D97" s="43">
        <f>'ALL GOVERNMENT FUNDS'!D88</f>
        <v>0</v>
      </c>
      <c r="E97" s="43">
        <f>'ALL GOVERNMENT FUNDS'!E88</f>
        <v>0</v>
      </c>
      <c r="F97" s="43">
        <f>'ALL GOVERNMENT FUNDS'!F88</f>
        <v>0</v>
      </c>
      <c r="G97" s="43">
        <f>'ALL GOVERNMENT FUNDS'!G88</f>
        <v>0</v>
      </c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17">
        <f t="shared" si="9"/>
        <v>0</v>
      </c>
    </row>
    <row r="98" spans="1:19" x14ac:dyDescent="0.25">
      <c r="A98" t="str">
        <f>'ALL GOVERNMENT FUNDS'!A89</f>
        <v xml:space="preserve">Payment to refunded bond escrow </v>
      </c>
      <c r="B98" s="43">
        <f>'ALL GOVERNMENT FUNDS'!B89</f>
        <v>0</v>
      </c>
      <c r="C98" s="43">
        <f>'ALL GOVERNMENT FUNDS'!C89</f>
        <v>0</v>
      </c>
      <c r="D98" s="43">
        <f>'ALL GOVERNMENT FUNDS'!D89</f>
        <v>0</v>
      </c>
      <c r="E98" s="43">
        <f>'ALL GOVERNMENT FUNDS'!E89</f>
        <v>0</v>
      </c>
      <c r="F98" s="43">
        <f>'ALL GOVERNMENT FUNDS'!F89</f>
        <v>0</v>
      </c>
      <c r="G98" s="43">
        <f>'ALL GOVERNMENT FUNDS'!G89</f>
        <v>0</v>
      </c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17">
        <f t="shared" si="9"/>
        <v>0</v>
      </c>
    </row>
    <row r="99" spans="1:19" x14ac:dyDescent="0.25">
      <c r="A99" t="str">
        <f>'ALL GOVERNMENT FUNDS'!A90</f>
        <v>Transfers In</v>
      </c>
      <c r="B99" s="43">
        <f>'ALL GOVERNMENT FUNDS'!B90</f>
        <v>4011781.129999999</v>
      </c>
      <c r="C99" s="43">
        <f>'ALL GOVERNMENT FUNDS'!C90</f>
        <v>699992.94</v>
      </c>
      <c r="D99" s="43">
        <f>'ALL GOVERNMENT FUNDS'!D90</f>
        <v>1336941.6599999999</v>
      </c>
      <c r="E99" s="43">
        <f>'ALL GOVERNMENT FUNDS'!E90</f>
        <v>0</v>
      </c>
      <c r="F99" s="43">
        <f>'ALL GOVERNMENT FUNDS'!F90</f>
        <v>3163396.41</v>
      </c>
      <c r="G99" s="43">
        <f>'ALL GOVERNMENT FUNDS'!G90</f>
        <v>9212112.1399999987</v>
      </c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17">
        <f t="shared" si="9"/>
        <v>9212112.1399999987</v>
      </c>
    </row>
    <row r="100" spans="1:19" x14ac:dyDescent="0.25">
      <c r="A100" t="str">
        <f>'ALL GOVERNMENT FUNDS'!A91</f>
        <v>Transfers Out</v>
      </c>
      <c r="B100" s="43">
        <f>'ALL GOVERNMENT FUNDS'!B91</f>
        <v>4570954.46</v>
      </c>
      <c r="C100" s="43">
        <f>'ALL GOVERNMENT FUNDS'!C91</f>
        <v>672012.45000000007</v>
      </c>
      <c r="D100" s="43">
        <f>'ALL GOVERNMENT FUNDS'!D91</f>
        <v>974276.17</v>
      </c>
      <c r="E100" s="43">
        <f>'ALL GOVERNMENT FUNDS'!E91</f>
        <v>150000</v>
      </c>
      <c r="F100" s="43">
        <f>'ALL GOVERNMENT FUNDS'!F91</f>
        <v>2844869.06</v>
      </c>
      <c r="G100" s="43">
        <f>'ALL GOVERNMENT FUNDS'!G91</f>
        <v>9212112.1400000006</v>
      </c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17">
        <f t="shared" si="9"/>
        <v>9212112.1400000006</v>
      </c>
    </row>
    <row r="101" spans="1:19" x14ac:dyDescent="0.25">
      <c r="A101" s="66" t="str">
        <f>'ALL GOVERNMENT FUNDS'!A92</f>
        <v>Total Other</v>
      </c>
      <c r="B101" s="116">
        <f>'ALL GOVERNMENT FUNDS'!B92</f>
        <v>-549724.72000000102</v>
      </c>
      <c r="C101" s="116">
        <f>'ALL GOVERNMENT FUNDS'!C92</f>
        <v>579416.48999999987</v>
      </c>
      <c r="D101" s="116">
        <f>'ALL GOVERNMENT FUNDS'!D92</f>
        <v>383185.49</v>
      </c>
      <c r="E101" s="116">
        <f>'ALL GOVERNMENT FUNDS'!E92</f>
        <v>-150000</v>
      </c>
      <c r="F101" s="116">
        <f>'ALL GOVERNMENT FUNDS'!F92</f>
        <v>318527.34999999998</v>
      </c>
      <c r="G101" s="116">
        <f>'ALL GOVERNMENT FUNDS'!G92</f>
        <v>581404.60999999754</v>
      </c>
      <c r="H101" s="125">
        <f>H95+H96+H97+H98+H99-H100</f>
        <v>0</v>
      </c>
      <c r="I101" s="125">
        <f t="shared" ref="I101:Q101" si="10">I95+I96+I97+I98+I99-I100</f>
        <v>0</v>
      </c>
      <c r="J101" s="125">
        <f t="shared" si="10"/>
        <v>0</v>
      </c>
      <c r="K101" s="125">
        <f t="shared" si="10"/>
        <v>0</v>
      </c>
      <c r="L101" s="125">
        <f t="shared" si="10"/>
        <v>0</v>
      </c>
      <c r="M101" s="125">
        <f t="shared" si="10"/>
        <v>0</v>
      </c>
      <c r="N101" s="125">
        <f t="shared" si="10"/>
        <v>0</v>
      </c>
      <c r="O101" s="125">
        <f t="shared" si="10"/>
        <v>-551436</v>
      </c>
      <c r="P101" s="125">
        <f t="shared" si="10"/>
        <v>0</v>
      </c>
      <c r="Q101" s="125">
        <f t="shared" si="10"/>
        <v>0</v>
      </c>
      <c r="R101" s="118">
        <f t="shared" si="9"/>
        <v>29968.609999997541</v>
      </c>
      <c r="S101" s="198">
        <f>SUM(S93:S100)</f>
        <v>579522.06999999343</v>
      </c>
    </row>
    <row r="103" spans="1:19" x14ac:dyDescent="0.25">
      <c r="A103" s="66" t="str">
        <f>'ALL GOVERNMENT FUNDS'!A94</f>
        <v>Net Change in Fund Balance</v>
      </c>
      <c r="B103" s="127">
        <f>'ALL GOVERNMENT FUNDS'!B94</f>
        <v>-535066.43000000017</v>
      </c>
      <c r="C103" s="127">
        <f>'ALL GOVERNMENT FUNDS'!C94</f>
        <v>-390598.67000000004</v>
      </c>
      <c r="D103" s="127">
        <f>'ALL GOVERNMENT FUNDS'!D94</f>
        <v>-4983.3199999995995</v>
      </c>
      <c r="E103" s="127">
        <f>'ALL GOVERNMENT FUNDS'!E94</f>
        <v>0</v>
      </c>
      <c r="F103" s="127">
        <f>'ALL GOVERNMENT FUNDS'!F94</f>
        <v>643641.48999999964</v>
      </c>
      <c r="G103" s="127">
        <f>'ALL GOVERNMENT FUNDS'!G94</f>
        <v>-287006.93000000017</v>
      </c>
      <c r="R103" s="43">
        <f>R93+R101</f>
        <v>579522.06999999867</v>
      </c>
    </row>
    <row r="104" spans="1:19" x14ac:dyDescent="0.25">
      <c r="A104" t="str">
        <f>'ALL GOVERNMENT FUNDS'!A95</f>
        <v>Fund Balance - Beginning</v>
      </c>
      <c r="B104" s="43">
        <f>'ALL GOVERNMENT FUNDS'!B95</f>
        <v>7536362.7200000007</v>
      </c>
      <c r="C104" s="43">
        <f>'ALL GOVERNMENT FUNDS'!C95</f>
        <v>251080.67000000004</v>
      </c>
      <c r="D104" s="43">
        <f>'ALL GOVERNMENT FUNDS'!D95</f>
        <v>350391.06999999954</v>
      </c>
      <c r="E104" s="43">
        <f>'ALL GOVERNMENT FUNDS'!E95</f>
        <v>0</v>
      </c>
      <c r="F104" s="43">
        <f>'ALL GOVERNMENT FUNDS'!F95</f>
        <v>3382144.82</v>
      </c>
      <c r="G104" s="43">
        <f>'ALL GOVERNMENT FUNDS'!G95</f>
        <v>11519979.279999999</v>
      </c>
    </row>
    <row r="105" spans="1:19" x14ac:dyDescent="0.25">
      <c r="A105" s="66" t="str">
        <f>'ALL GOVERNMENT FUNDS'!A96</f>
        <v>Fund Balance - End of Year</v>
      </c>
      <c r="B105" s="127">
        <f>'ALL GOVERNMENT FUNDS'!B96</f>
        <v>7001296.29</v>
      </c>
      <c r="C105" s="127">
        <f>'ALL GOVERNMENT FUNDS'!C96</f>
        <v>-139518</v>
      </c>
      <c r="D105" s="127">
        <f>'ALL GOVERNMENT FUNDS'!D96</f>
        <v>345407.74999999994</v>
      </c>
      <c r="E105" s="127">
        <f>'ALL GOVERNMENT FUNDS'!E96</f>
        <v>0</v>
      </c>
      <c r="F105" s="127">
        <f>'ALL GOVERNMENT FUNDS'!F96</f>
        <v>4025786.3099999996</v>
      </c>
      <c r="G105" s="127">
        <f>'ALL GOVERNMENT FUNDS'!G96</f>
        <v>11232972.35</v>
      </c>
    </row>
  </sheetData>
  <customSheetViews>
    <customSheetView guid="{E68B3865-8D72-47E7-BE32-0FF7EB09E889}" scale="80" showPageBreaks="1" fitToPage="1" printArea="1">
      <pane xSplit="6" ySplit="6" topLeftCell="G80" activePane="bottomRight" state="frozen"/>
      <selection pane="bottomRight" activeCell="M104" sqref="M104"/>
      <pageMargins left="0.25" right="0.25" top="0.75" bottom="0.75" header="0.3" footer="0.3"/>
      <printOptions gridLines="1"/>
      <pageSetup scale="34" fitToHeight="0" orientation="landscape" r:id="rId1"/>
    </customSheetView>
    <customSheetView guid="{DE6E911D-85BF-467A-AA00-1E84C5349CF7}" showPageBreaks="1" fitToPage="1">
      <pane xSplit="1" ySplit="6" topLeftCell="J40" activePane="bottomRight" state="frozen"/>
      <selection pane="bottomRight" activeCell="Q61" sqref="Q61"/>
      <pageMargins left="0.7" right="0.7" top="0.75" bottom="0.75" header="0.3" footer="0.3"/>
      <printOptions gridLines="1"/>
      <pageSetup paperSize="5" scale="40" fitToHeight="2" orientation="landscape" r:id="rId2"/>
    </customSheetView>
  </customSheetViews>
  <printOptions gridLines="1"/>
  <pageMargins left="0.25" right="0.25" top="0.75" bottom="0.75" header="0.3" footer="0.3"/>
  <pageSetup scale="42" fitToHeight="0" orientation="landscape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7"/>
  <sheetViews>
    <sheetView workbookViewId="0">
      <selection activeCell="F36" sqref="F36"/>
    </sheetView>
  </sheetViews>
  <sheetFormatPr defaultRowHeight="15" x14ac:dyDescent="0.25"/>
  <cols>
    <col min="1" max="1" width="36.28515625" customWidth="1"/>
    <col min="2" max="6" width="21.28515625" style="43" customWidth="1"/>
    <col min="7" max="7" width="14" bestFit="1" customWidth="1"/>
    <col min="8" max="8" width="17" customWidth="1"/>
    <col min="9" max="9" width="21.140625" customWidth="1"/>
    <col min="10" max="11" width="15.140625" style="43" customWidth="1"/>
    <col min="12" max="12" width="18.140625" style="43" customWidth="1"/>
    <col min="13" max="13" width="17.42578125" style="43" customWidth="1"/>
    <col min="14" max="14" width="16.5703125" style="43" customWidth="1"/>
    <col min="15" max="15" width="16.140625" style="43" customWidth="1"/>
    <col min="16" max="16" width="17.28515625" style="43" customWidth="1"/>
    <col min="17" max="17" width="17.42578125" style="43" customWidth="1"/>
    <col min="18" max="18" width="16.42578125" style="43" customWidth="1"/>
    <col min="19" max="21" width="15.28515625" style="43" customWidth="1"/>
    <col min="22" max="46" width="15.7109375" style="43" customWidth="1"/>
    <col min="47" max="48" width="15.7109375" customWidth="1"/>
  </cols>
  <sheetData>
    <row r="1" spans="1:6" ht="23.25" x14ac:dyDescent="0.35">
      <c r="A1" s="119" t="s">
        <v>444</v>
      </c>
    </row>
    <row r="2" spans="1:6" x14ac:dyDescent="0.25">
      <c r="A2" t="s">
        <v>445</v>
      </c>
      <c r="B2" s="43">
        <f>'ALL GOVERNMENT FUNDS'!A3</f>
        <v>43830</v>
      </c>
    </row>
    <row r="4" spans="1:6" ht="30" x14ac:dyDescent="0.25">
      <c r="C4" s="139" t="s">
        <v>458</v>
      </c>
      <c r="D4" s="135"/>
      <c r="E4" s="139"/>
      <c r="F4" s="140" t="s">
        <v>459</v>
      </c>
    </row>
    <row r="5" spans="1:6" ht="30.75" customHeight="1" x14ac:dyDescent="0.25">
      <c r="A5" s="138" t="s">
        <v>446</v>
      </c>
      <c r="B5" s="135" t="s">
        <v>119</v>
      </c>
      <c r="C5" s="141" t="s">
        <v>454</v>
      </c>
      <c r="D5" s="141" t="s">
        <v>455</v>
      </c>
      <c r="E5" s="141" t="s">
        <v>456</v>
      </c>
      <c r="F5" s="141" t="s">
        <v>457</v>
      </c>
    </row>
    <row r="6" spans="1:6" ht="30.75" customHeight="1" x14ac:dyDescent="0.25">
      <c r="A6" s="66" t="s">
        <v>447</v>
      </c>
    </row>
    <row r="7" spans="1:6" ht="30.75" customHeight="1" x14ac:dyDescent="0.25">
      <c r="A7" t="s">
        <v>448</v>
      </c>
    </row>
    <row r="8" spans="1:6" ht="30.75" customHeight="1" x14ac:dyDescent="0.25">
      <c r="A8" t="s">
        <v>449</v>
      </c>
      <c r="B8" s="43">
        <f>'Front Stmts'!R83</f>
        <v>6565712.6399999997</v>
      </c>
      <c r="C8" s="43">
        <f>C99+W166</f>
        <v>761526.97000000009</v>
      </c>
      <c r="D8" s="43">
        <f>C162+W167</f>
        <v>963930.59</v>
      </c>
      <c r="F8" s="43">
        <f>-B8+C8+D8+E8</f>
        <v>-4840255.08</v>
      </c>
    </row>
    <row r="9" spans="1:6" ht="30.75" customHeight="1" x14ac:dyDescent="0.25">
      <c r="A9" t="s">
        <v>450</v>
      </c>
      <c r="B9" s="43">
        <f>'Front Stmts'!R84</f>
        <v>4007816.1700000004</v>
      </c>
      <c r="C9" s="43">
        <f>D99+S166+T166+U166+V166+X166+AF166+AG166</f>
        <v>1499364.3700000003</v>
      </c>
      <c r="D9" s="43">
        <f>D162+S167+T167+U167+V167+X167+AF167+AG167</f>
        <v>900388.02</v>
      </c>
      <c r="F9" s="43">
        <f t="shared" ref="F9:F15" si="0">-B9+C9+D9+E9</f>
        <v>-1608063.7799999998</v>
      </c>
    </row>
    <row r="10" spans="1:6" ht="30.75" customHeight="1" x14ac:dyDescent="0.25">
      <c r="A10" t="s">
        <v>29</v>
      </c>
      <c r="B10" s="43">
        <f>'Front Stmts'!R85</f>
        <v>6720914.3100000005</v>
      </c>
      <c r="C10" s="43">
        <f>E99+Q166+AH166</f>
        <v>58424.659999999996</v>
      </c>
      <c r="D10" s="43">
        <f>E162+Q167+AH167</f>
        <v>2895421.56</v>
      </c>
      <c r="F10" s="43">
        <f t="shared" si="0"/>
        <v>-3767068.0900000003</v>
      </c>
    </row>
    <row r="11" spans="1:6" ht="30.75" customHeight="1" x14ac:dyDescent="0.25">
      <c r="A11" t="s">
        <v>451</v>
      </c>
      <c r="B11" s="43">
        <f>'Front Stmts'!R86</f>
        <v>1613804.3</v>
      </c>
      <c r="C11" s="43">
        <f>F99+N166+P166+R166</f>
        <v>567509.89</v>
      </c>
      <c r="D11" s="43">
        <f>F162+N167+P167+R167</f>
        <v>1101776.31</v>
      </c>
      <c r="F11" s="43">
        <f t="shared" si="0"/>
        <v>55481.900000000023</v>
      </c>
    </row>
    <row r="12" spans="1:6" ht="30.75" customHeight="1" x14ac:dyDescent="0.25">
      <c r="A12" t="s">
        <v>31</v>
      </c>
      <c r="B12" s="43">
        <f>'Front Stmts'!R87</f>
        <v>30995082.609999999</v>
      </c>
      <c r="C12" s="43">
        <f>G99+J166+M166+O166+Y166+Z166+AA166+AB166+AC166+AD166</f>
        <v>167001.93</v>
      </c>
      <c r="D12" s="43">
        <f>G162+J167+M167+O167+Y167+Z167+AA167+AB167+AC167+AD167</f>
        <v>30426076.320000004</v>
      </c>
      <c r="F12" s="43">
        <f t="shared" si="0"/>
        <v>-402004.35999999568</v>
      </c>
    </row>
    <row r="13" spans="1:6" ht="30.75" customHeight="1" x14ac:dyDescent="0.25">
      <c r="A13" t="s">
        <v>63</v>
      </c>
      <c r="B13" s="43">
        <f>'Front Stmts'!R88</f>
        <v>1130900.7</v>
      </c>
      <c r="C13" s="43">
        <f>H99</f>
        <v>18643.18</v>
      </c>
      <c r="D13" s="43">
        <f>H162</f>
        <v>11375</v>
      </c>
      <c r="F13" s="43">
        <f t="shared" si="0"/>
        <v>-1100882.52</v>
      </c>
    </row>
    <row r="14" spans="1:6" ht="30.75" customHeight="1" x14ac:dyDescent="0.25">
      <c r="A14" t="s">
        <v>452</v>
      </c>
      <c r="B14" s="43">
        <f>'Front Stmts'!R89</f>
        <v>292610.96999999997</v>
      </c>
      <c r="C14" s="43">
        <f>I99</f>
        <v>92356.14</v>
      </c>
      <c r="D14" s="43">
        <f>I162</f>
        <v>25909.8</v>
      </c>
      <c r="F14" s="43">
        <f t="shared" si="0"/>
        <v>-174345.02999999997</v>
      </c>
    </row>
    <row r="15" spans="1:6" ht="30.75" customHeight="1" x14ac:dyDescent="0.25">
      <c r="A15" t="s">
        <v>23</v>
      </c>
      <c r="B15" s="43">
        <f>'Front Stmts'!R90</f>
        <v>4150</v>
      </c>
      <c r="F15" s="43">
        <f t="shared" si="0"/>
        <v>-4150</v>
      </c>
    </row>
    <row r="17" spans="1:6" ht="15.75" thickBot="1" x14ac:dyDescent="0.3">
      <c r="A17" t="s">
        <v>453</v>
      </c>
      <c r="B17" s="142">
        <f>SUM(B6:B16)</f>
        <v>51330991.700000003</v>
      </c>
      <c r="C17" s="142">
        <f>SUM(C6:C16)</f>
        <v>3164827.1400000011</v>
      </c>
      <c r="D17" s="142">
        <f>SUM(D6:D16)</f>
        <v>36324877.600000001</v>
      </c>
      <c r="E17" s="142">
        <f>SUM(E6:E16)</f>
        <v>0</v>
      </c>
      <c r="F17" s="142">
        <f>SUM(F6:F16)</f>
        <v>-11841286.959999993</v>
      </c>
    </row>
    <row r="18" spans="1:6" ht="15.75" thickTop="1" x14ac:dyDescent="0.25"/>
    <row r="20" spans="1:6" x14ac:dyDescent="0.25">
      <c r="D20" s="127" t="s">
        <v>460</v>
      </c>
    </row>
    <row r="21" spans="1:6" x14ac:dyDescent="0.25">
      <c r="D21" s="43" t="s">
        <v>461</v>
      </c>
      <c r="F21" s="43">
        <f>'Front Stmts'!R72-F22</f>
        <v>11407220.08</v>
      </c>
    </row>
    <row r="22" spans="1:6" x14ac:dyDescent="0.25">
      <c r="D22" s="43" t="s">
        <v>462</v>
      </c>
      <c r="F22" s="43">
        <f>'General Fund - Revenue'!G64+'General Fund - Revenue'!H64</f>
        <v>291117.94999999995</v>
      </c>
    </row>
    <row r="23" spans="1:6" x14ac:dyDescent="0.25">
      <c r="D23" s="43" t="s">
        <v>463</v>
      </c>
      <c r="F23" s="43">
        <f>'Front Stmts'!R77</f>
        <v>49547.869999999995</v>
      </c>
    </row>
    <row r="24" spans="1:6" x14ac:dyDescent="0.25">
      <c r="D24" s="43" t="s">
        <v>201</v>
      </c>
      <c r="F24" s="43">
        <f>'Front Stmts'!R76</f>
        <v>382440.01</v>
      </c>
    </row>
    <row r="25" spans="1:6" x14ac:dyDescent="0.25">
      <c r="D25" s="43" t="s">
        <v>113</v>
      </c>
      <c r="F25" s="43">
        <f>'Front Stmts'!R73</f>
        <v>49720</v>
      </c>
    </row>
    <row r="26" spans="1:6" x14ac:dyDescent="0.25">
      <c r="D26" s="43" t="s">
        <v>117</v>
      </c>
      <c r="F26" s="43">
        <f>'Front Stmts'!R78</f>
        <v>0</v>
      </c>
    </row>
    <row r="27" spans="1:6" x14ac:dyDescent="0.25">
      <c r="D27" s="43" t="s">
        <v>487</v>
      </c>
      <c r="F27" s="43">
        <f>'Front Stmts'!R79</f>
        <v>210794.19</v>
      </c>
    </row>
    <row r="28" spans="1:6" x14ac:dyDescent="0.25">
      <c r="D28" s="43" t="s">
        <v>464</v>
      </c>
      <c r="F28" s="43">
        <f>'Front Stmts'!R95</f>
        <v>29968.61</v>
      </c>
    </row>
    <row r="30" spans="1:6" x14ac:dyDescent="0.25">
      <c r="D30" s="127" t="s">
        <v>465</v>
      </c>
      <c r="F30" s="99">
        <f>SUM(F20:F29)</f>
        <v>12420808.709999997</v>
      </c>
    </row>
    <row r="32" spans="1:6" x14ac:dyDescent="0.25">
      <c r="D32" s="127" t="s">
        <v>466</v>
      </c>
      <c r="F32" s="43">
        <f>F30+F17</f>
        <v>579521.75000000373</v>
      </c>
    </row>
    <row r="34" spans="1:46" x14ac:dyDescent="0.25">
      <c r="D34" s="127" t="s">
        <v>467</v>
      </c>
    </row>
    <row r="35" spans="1:46" x14ac:dyDescent="0.25">
      <c r="D35" s="43" t="s">
        <v>468</v>
      </c>
      <c r="F35" s="179">
        <v>41028966</v>
      </c>
    </row>
    <row r="36" spans="1:46" x14ac:dyDescent="0.25">
      <c r="D36" s="43" t="s">
        <v>469</v>
      </c>
      <c r="F36" s="43">
        <f>F35+F32</f>
        <v>41608487.75</v>
      </c>
    </row>
    <row r="39" spans="1:46" x14ac:dyDescent="0.25">
      <c r="A39" s="43"/>
      <c r="F39"/>
      <c r="I39" s="43"/>
      <c r="AT39"/>
    </row>
    <row r="40" spans="1:46" ht="21" x14ac:dyDescent="0.35">
      <c r="A40" s="157" t="s">
        <v>490</v>
      </c>
      <c r="C40" s="170" t="s">
        <v>493</v>
      </c>
      <c r="D40" s="128"/>
      <c r="E40" s="128"/>
      <c r="F40" s="128"/>
      <c r="G40" s="128"/>
      <c r="H40" s="128"/>
      <c r="I40" s="128"/>
      <c r="J40" s="128"/>
      <c r="K40" s="128"/>
      <c r="L40" s="128"/>
      <c r="AT40"/>
    </row>
    <row r="41" spans="1:46" x14ac:dyDescent="0.25">
      <c r="A41" s="43"/>
      <c r="C41" s="127" t="s">
        <v>120</v>
      </c>
      <c r="D41" s="127" t="s">
        <v>121</v>
      </c>
      <c r="E41" s="127" t="s">
        <v>122</v>
      </c>
      <c r="F41" s="127" t="s">
        <v>123</v>
      </c>
      <c r="G41" s="127" t="s">
        <v>162</v>
      </c>
      <c r="H41" s="127" t="s">
        <v>488</v>
      </c>
      <c r="I41" s="127" t="s">
        <v>489</v>
      </c>
      <c r="AT41"/>
    </row>
    <row r="42" spans="1:46" x14ac:dyDescent="0.25">
      <c r="A42" t="s">
        <v>131</v>
      </c>
      <c r="B42">
        <v>1100</v>
      </c>
      <c r="C42" s="164">
        <f>'General Fund - Revenue'!M7</f>
        <v>12478.06</v>
      </c>
      <c r="G42" s="43"/>
      <c r="H42" s="43"/>
      <c r="I42" s="43"/>
      <c r="AT42"/>
    </row>
    <row r="43" spans="1:46" x14ac:dyDescent="0.25">
      <c r="A43" t="s">
        <v>132</v>
      </c>
      <c r="B43">
        <v>1105</v>
      </c>
      <c r="C43" s="165">
        <f>'General Fund - Revenue'!M8</f>
        <v>32088.48</v>
      </c>
      <c r="G43" s="43"/>
      <c r="H43" s="43"/>
      <c r="I43" s="43"/>
      <c r="AT43"/>
    </row>
    <row r="44" spans="1:46" x14ac:dyDescent="0.25">
      <c r="A44" t="s">
        <v>133</v>
      </c>
      <c r="B44">
        <v>1135</v>
      </c>
      <c r="C44" s="165">
        <f>'General Fund - Revenue'!M9</f>
        <v>10000</v>
      </c>
      <c r="G44" s="43"/>
      <c r="H44" s="43"/>
      <c r="I44" s="43"/>
      <c r="AT44"/>
    </row>
    <row r="45" spans="1:46" x14ac:dyDescent="0.25">
      <c r="A45" t="s">
        <v>134</v>
      </c>
      <c r="B45">
        <v>1140</v>
      </c>
      <c r="C45" s="165">
        <f>'General Fund - Revenue'!M10</f>
        <v>567144.06000000006</v>
      </c>
      <c r="G45" s="43"/>
      <c r="H45" s="43"/>
      <c r="I45" s="43"/>
      <c r="AT45"/>
    </row>
    <row r="46" spans="1:46" x14ac:dyDescent="0.25">
      <c r="A46" t="s">
        <v>135</v>
      </c>
      <c r="B46">
        <v>1145</v>
      </c>
      <c r="C46" s="165">
        <f>'General Fund - Revenue'!M11</f>
        <v>13983.09</v>
      </c>
      <c r="G46" s="43"/>
      <c r="H46" s="43"/>
      <c r="I46" s="43"/>
      <c r="AT46"/>
    </row>
    <row r="47" spans="1:46" x14ac:dyDescent="0.25">
      <c r="A47" t="s">
        <v>136</v>
      </c>
      <c r="B47">
        <v>1152</v>
      </c>
      <c r="C47" s="165">
        <f>'General Fund - Revenue'!M12</f>
        <v>0</v>
      </c>
      <c r="G47" s="43"/>
      <c r="H47" s="43"/>
      <c r="I47" s="43"/>
      <c r="AT47"/>
    </row>
    <row r="48" spans="1:46" x14ac:dyDescent="0.25">
      <c r="A48" t="s">
        <v>137</v>
      </c>
      <c r="B48">
        <v>1155</v>
      </c>
      <c r="C48" s="165">
        <f>'General Fund - Revenue'!M13</f>
        <v>0</v>
      </c>
      <c r="G48" s="43"/>
      <c r="H48" s="43"/>
      <c r="I48" s="43"/>
      <c r="AT48"/>
    </row>
    <row r="49" spans="1:46" x14ac:dyDescent="0.25">
      <c r="A49" t="s">
        <v>138</v>
      </c>
      <c r="B49">
        <v>1160</v>
      </c>
      <c r="C49" s="165">
        <f>'General Fund - Revenue'!M14</f>
        <v>-1500</v>
      </c>
      <c r="G49" s="43"/>
      <c r="H49" s="43"/>
      <c r="I49" s="43"/>
      <c r="AT49"/>
    </row>
    <row r="50" spans="1:46" x14ac:dyDescent="0.25">
      <c r="A50" t="s">
        <v>139</v>
      </c>
      <c r="B50">
        <v>1162</v>
      </c>
      <c r="C50" s="165">
        <f>'General Fund - Revenue'!M15</f>
        <v>0</v>
      </c>
      <c r="G50" s="43"/>
      <c r="H50" s="43"/>
      <c r="I50" s="43"/>
      <c r="AT50"/>
    </row>
    <row r="51" spans="1:46" x14ac:dyDescent="0.25">
      <c r="A51" t="s">
        <v>140</v>
      </c>
      <c r="B51">
        <v>1164</v>
      </c>
      <c r="C51" s="165">
        <f>'General Fund - Revenue'!M16</f>
        <v>0</v>
      </c>
      <c r="G51" s="43"/>
      <c r="H51" s="43"/>
      <c r="I51" s="43"/>
      <c r="AT51"/>
    </row>
    <row r="52" spans="1:46" x14ac:dyDescent="0.25">
      <c r="A52" s="32" t="s">
        <v>298</v>
      </c>
      <c r="B52" s="32">
        <v>1166</v>
      </c>
      <c r="C52" s="165">
        <f>'General Fund - Revenue'!M17</f>
        <v>0</v>
      </c>
      <c r="G52" s="43"/>
      <c r="H52" s="43"/>
      <c r="I52" s="43"/>
      <c r="AT52"/>
    </row>
    <row r="53" spans="1:46" x14ac:dyDescent="0.25">
      <c r="A53" t="s">
        <v>141</v>
      </c>
      <c r="B53" s="32">
        <v>1167</v>
      </c>
      <c r="C53" s="165">
        <f>'General Fund - Revenue'!M18</f>
        <v>0</v>
      </c>
      <c r="G53" s="43"/>
      <c r="H53" s="43"/>
      <c r="I53" s="43"/>
      <c r="AT53"/>
    </row>
    <row r="54" spans="1:46" x14ac:dyDescent="0.25">
      <c r="A54" t="s">
        <v>142</v>
      </c>
      <c r="B54">
        <v>1168</v>
      </c>
      <c r="C54" s="165">
        <f>'General Fund - Revenue'!M19</f>
        <v>0</v>
      </c>
      <c r="G54" s="43"/>
      <c r="H54" s="43"/>
      <c r="I54" s="43"/>
      <c r="AT54"/>
    </row>
    <row r="55" spans="1:46" x14ac:dyDescent="0.25">
      <c r="A55" t="s">
        <v>397</v>
      </c>
      <c r="B55">
        <v>1169</v>
      </c>
      <c r="C55" s="165">
        <f>'General Fund - Revenue'!M20</f>
        <v>0</v>
      </c>
      <c r="G55" s="43"/>
      <c r="H55" s="43"/>
      <c r="I55" s="43"/>
      <c r="AT55"/>
    </row>
    <row r="56" spans="1:46" x14ac:dyDescent="0.25">
      <c r="A56" t="s">
        <v>143</v>
      </c>
      <c r="B56">
        <v>1171</v>
      </c>
      <c r="C56" s="166">
        <f>'General Fund - Revenue'!M21</f>
        <v>0</v>
      </c>
      <c r="G56" s="43"/>
      <c r="H56" s="43"/>
      <c r="I56" s="43"/>
      <c r="AT56"/>
    </row>
    <row r="57" spans="1:46" x14ac:dyDescent="0.25">
      <c r="A57" t="s">
        <v>144</v>
      </c>
      <c r="B57">
        <v>1200</v>
      </c>
      <c r="D57" s="168">
        <f>'General Fund - Revenue'!M22</f>
        <v>32925.47</v>
      </c>
      <c r="G57" s="43"/>
      <c r="H57" s="43"/>
      <c r="I57" s="43"/>
      <c r="AT57"/>
    </row>
    <row r="58" spans="1:46" x14ac:dyDescent="0.25">
      <c r="A58" t="s">
        <v>145</v>
      </c>
      <c r="B58">
        <v>1300</v>
      </c>
      <c r="C58" s="163"/>
      <c r="E58" s="161">
        <f>'General Fund - Revenue'!M23</f>
        <v>0</v>
      </c>
      <c r="G58" s="43"/>
      <c r="H58" s="43"/>
      <c r="I58" s="43"/>
      <c r="AT58"/>
    </row>
    <row r="59" spans="1:46" x14ac:dyDescent="0.25">
      <c r="A59" t="s">
        <v>146</v>
      </c>
      <c r="B59">
        <v>1400</v>
      </c>
      <c r="F59" s="72">
        <f>'General Fund - Revenue'!M24</f>
        <v>-3062.2200000000003</v>
      </c>
      <c r="G59" s="43"/>
      <c r="H59" s="43"/>
      <c r="I59" s="43"/>
      <c r="AT59"/>
    </row>
    <row r="60" spans="1:46" x14ac:dyDescent="0.25">
      <c r="A60" t="s">
        <v>147</v>
      </c>
      <c r="B60">
        <v>1500</v>
      </c>
      <c r="C60" s="163"/>
      <c r="G60" s="161">
        <f>'General Fund - Revenue'!M25</f>
        <v>0</v>
      </c>
      <c r="H60" s="43"/>
      <c r="I60" s="43"/>
      <c r="AT60"/>
    </row>
    <row r="61" spans="1:46" x14ac:dyDescent="0.25">
      <c r="A61" t="s">
        <v>225</v>
      </c>
      <c r="B61">
        <v>1600</v>
      </c>
      <c r="C61" s="163"/>
      <c r="G61" s="43"/>
      <c r="H61" s="43"/>
      <c r="I61" s="161">
        <f>'General Fund - Revenue'!M26</f>
        <v>0</v>
      </c>
      <c r="AT61"/>
    </row>
    <row r="62" spans="1:46" x14ac:dyDescent="0.25">
      <c r="A62" t="s">
        <v>148</v>
      </c>
      <c r="B62">
        <v>1700</v>
      </c>
      <c r="C62" s="163"/>
      <c r="G62" s="43"/>
      <c r="H62" s="161">
        <f>'General Fund - Revenue'!M27</f>
        <v>0</v>
      </c>
      <c r="I62" s="43"/>
      <c r="AT62"/>
    </row>
    <row r="63" spans="1:46" x14ac:dyDescent="0.25">
      <c r="A63" t="s">
        <v>226</v>
      </c>
      <c r="B63"/>
      <c r="C63" s="164">
        <f>'General Fund - Revenue'!M28</f>
        <v>0</v>
      </c>
      <c r="G63" s="43"/>
      <c r="H63" s="43"/>
      <c r="I63" s="43"/>
      <c r="AT63"/>
    </row>
    <row r="64" spans="1:46" x14ac:dyDescent="0.25">
      <c r="A64" t="s">
        <v>149</v>
      </c>
      <c r="B64">
        <v>1905</v>
      </c>
      <c r="C64" s="166">
        <f>'General Fund - Revenue'!M29</f>
        <v>0</v>
      </c>
      <c r="G64" s="43"/>
      <c r="H64" s="43"/>
      <c r="I64" s="43"/>
      <c r="AT64"/>
    </row>
    <row r="65" spans="1:46" x14ac:dyDescent="0.25">
      <c r="A65" t="s">
        <v>150</v>
      </c>
      <c r="B65">
        <v>2205</v>
      </c>
      <c r="D65" s="164">
        <f>'General Fund - Revenue'!M30</f>
        <v>39590.06</v>
      </c>
      <c r="G65" s="43"/>
      <c r="H65" s="43"/>
      <c r="I65" s="43"/>
      <c r="AT65"/>
    </row>
    <row r="66" spans="1:46" x14ac:dyDescent="0.25">
      <c r="A66" t="s">
        <v>151</v>
      </c>
      <c r="B66">
        <v>2210</v>
      </c>
      <c r="D66" s="165">
        <f>'General Fund - Revenue'!M31-7370.32</f>
        <v>0</v>
      </c>
      <c r="G66" s="43"/>
      <c r="H66" s="43"/>
      <c r="I66" s="43"/>
      <c r="AT66"/>
    </row>
    <row r="67" spans="1:46" x14ac:dyDescent="0.25">
      <c r="A67" t="s">
        <v>152</v>
      </c>
      <c r="B67">
        <v>2215</v>
      </c>
      <c r="D67" s="165">
        <f>'General Fund - Revenue'!M32</f>
        <v>0</v>
      </c>
      <c r="G67" s="43"/>
      <c r="H67" s="43"/>
      <c r="I67" s="43"/>
      <c r="AT67"/>
    </row>
    <row r="68" spans="1:46" x14ac:dyDescent="0.25">
      <c r="A68" t="s">
        <v>153</v>
      </c>
      <c r="B68">
        <v>2225</v>
      </c>
      <c r="D68" s="165">
        <f>'General Fund - Revenue'!M33</f>
        <v>50691.72</v>
      </c>
      <c r="G68" s="43"/>
      <c r="H68" s="43"/>
      <c r="I68" s="43"/>
      <c r="AT68"/>
    </row>
    <row r="69" spans="1:46" x14ac:dyDescent="0.25">
      <c r="A69" t="s">
        <v>154</v>
      </c>
      <c r="B69">
        <v>2230</v>
      </c>
      <c r="D69" s="165">
        <f>'General Fund - Revenue'!M34</f>
        <v>0</v>
      </c>
      <c r="G69" s="43"/>
      <c r="H69" s="43"/>
      <c r="I69" s="43"/>
      <c r="AT69"/>
    </row>
    <row r="70" spans="1:46" x14ac:dyDescent="0.25">
      <c r="A70" t="s">
        <v>398</v>
      </c>
      <c r="B70">
        <v>2235</v>
      </c>
      <c r="D70" s="165">
        <f>'General Fund - Revenue'!M35</f>
        <v>53585.5</v>
      </c>
      <c r="G70" s="43"/>
      <c r="H70" s="43"/>
      <c r="I70" s="43"/>
      <c r="AT70"/>
    </row>
    <row r="71" spans="1:46" x14ac:dyDescent="0.25">
      <c r="A71" t="s">
        <v>399</v>
      </c>
      <c r="B71">
        <v>2240</v>
      </c>
      <c r="D71" s="165">
        <f>'General Fund - Revenue'!M36</f>
        <v>82019.070000000007</v>
      </c>
      <c r="G71" s="43"/>
      <c r="H71" s="43"/>
      <c r="I71" s="43"/>
      <c r="AT71"/>
    </row>
    <row r="72" spans="1:46" x14ac:dyDescent="0.25">
      <c r="A72" t="s">
        <v>155</v>
      </c>
      <c r="B72">
        <v>2310</v>
      </c>
      <c r="D72" s="165">
        <f>'General Fund - Revenue'!M37</f>
        <v>177162.63</v>
      </c>
      <c r="G72" s="43"/>
      <c r="H72" s="43"/>
      <c r="I72" s="43"/>
      <c r="AT72"/>
    </row>
    <row r="73" spans="1:46" x14ac:dyDescent="0.25">
      <c r="A73" t="s">
        <v>156</v>
      </c>
      <c r="B73">
        <v>2311</v>
      </c>
      <c r="D73" s="166">
        <f>'General Fund - Revenue'!M38</f>
        <v>1338.33</v>
      </c>
      <c r="G73" s="43"/>
      <c r="H73" s="43"/>
      <c r="I73" s="43"/>
      <c r="AT73"/>
    </row>
    <row r="74" spans="1:46" x14ac:dyDescent="0.25">
      <c r="A74" t="s">
        <v>157</v>
      </c>
      <c r="B74">
        <v>3305</v>
      </c>
      <c r="E74" s="164">
        <f>'General Fund - Revenue'!M39</f>
        <v>36674.659999999996</v>
      </c>
      <c r="G74" s="43"/>
      <c r="H74" s="43"/>
      <c r="I74" s="43"/>
      <c r="AT74"/>
    </row>
    <row r="75" spans="1:46" x14ac:dyDescent="0.25">
      <c r="A75" t="s">
        <v>159</v>
      </c>
      <c r="B75">
        <v>4315</v>
      </c>
      <c r="E75" s="165">
        <f>'General Fund - Revenue'!M40</f>
        <v>0</v>
      </c>
      <c r="G75" s="43"/>
      <c r="H75" s="43"/>
      <c r="I75" s="43"/>
      <c r="AT75"/>
    </row>
    <row r="76" spans="1:46" x14ac:dyDescent="0.25">
      <c r="A76" t="s">
        <v>158</v>
      </c>
      <c r="B76">
        <v>4320</v>
      </c>
      <c r="E76" s="165">
        <f>'General Fund - Revenue'!M41</f>
        <v>0</v>
      </c>
      <c r="G76" s="43"/>
      <c r="H76" s="43"/>
      <c r="I76" s="43"/>
      <c r="AT76"/>
    </row>
    <row r="77" spans="1:46" x14ac:dyDescent="0.25">
      <c r="A77" t="s">
        <v>160</v>
      </c>
      <c r="B77">
        <v>4325</v>
      </c>
      <c r="E77" s="166">
        <f>'General Fund - Revenue'!M42</f>
        <v>0</v>
      </c>
      <c r="G77" s="43"/>
      <c r="H77" s="43"/>
      <c r="I77" s="43"/>
      <c r="AT77"/>
    </row>
    <row r="78" spans="1:46" x14ac:dyDescent="0.25">
      <c r="A78" t="s">
        <v>161</v>
      </c>
      <c r="B78">
        <v>4405</v>
      </c>
      <c r="F78" s="72">
        <f>'General Fund - Revenue'!M43</f>
        <v>228459.37</v>
      </c>
      <c r="G78" s="43"/>
      <c r="H78" s="43"/>
      <c r="I78" s="43"/>
      <c r="AT78"/>
    </row>
    <row r="79" spans="1:46" x14ac:dyDescent="0.25">
      <c r="A79" t="s">
        <v>162</v>
      </c>
      <c r="B79">
        <v>5505</v>
      </c>
      <c r="C79" s="163"/>
      <c r="G79" s="161">
        <f>'General Fund - Revenue'!M44</f>
        <v>0</v>
      </c>
      <c r="H79" s="43"/>
      <c r="I79" s="43"/>
      <c r="AT79"/>
    </row>
    <row r="80" spans="1:46" x14ac:dyDescent="0.25">
      <c r="A80" t="s">
        <v>163</v>
      </c>
      <c r="B80">
        <v>5507</v>
      </c>
      <c r="C80" s="164">
        <f>'General Fund - Revenue'!M45</f>
        <v>0</v>
      </c>
      <c r="G80" s="162"/>
      <c r="H80" s="43"/>
      <c r="I80" s="43"/>
      <c r="AT80"/>
    </row>
    <row r="81" spans="1:46" x14ac:dyDescent="0.25">
      <c r="A81" t="s">
        <v>164</v>
      </c>
      <c r="B81">
        <v>8175</v>
      </c>
      <c r="C81" s="165">
        <f>'General Fund - Revenue'!M46</f>
        <v>46059.92</v>
      </c>
      <c r="G81" s="43"/>
      <c r="H81" s="43"/>
      <c r="I81" s="43"/>
      <c r="AT81"/>
    </row>
    <row r="82" spans="1:46" x14ac:dyDescent="0.25">
      <c r="A82" t="s">
        <v>165</v>
      </c>
      <c r="B82">
        <v>8180</v>
      </c>
      <c r="C82" s="165">
        <f>'General Fund - Revenue'!M47</f>
        <v>5866.25</v>
      </c>
      <c r="G82" s="43"/>
      <c r="H82" s="43"/>
      <c r="I82" s="43"/>
      <c r="AT82"/>
    </row>
    <row r="83" spans="1:46" x14ac:dyDescent="0.25">
      <c r="A83" t="s">
        <v>166</v>
      </c>
      <c r="B83">
        <v>8185</v>
      </c>
      <c r="C83" s="166">
        <f>'General Fund - Revenue'!M48</f>
        <v>0</v>
      </c>
      <c r="G83" s="43"/>
      <c r="H83" s="43"/>
      <c r="I83" s="43"/>
      <c r="AT83"/>
    </row>
    <row r="84" spans="1:46" x14ac:dyDescent="0.25">
      <c r="A84" t="s">
        <v>167</v>
      </c>
      <c r="B84">
        <v>8245</v>
      </c>
      <c r="D84" s="164">
        <f>'General Fund - Revenue'!M49</f>
        <v>4591.2</v>
      </c>
      <c r="G84" s="43"/>
      <c r="H84" s="43"/>
      <c r="I84" s="43"/>
      <c r="AT84"/>
    </row>
    <row r="85" spans="1:46" x14ac:dyDescent="0.25">
      <c r="A85" t="s">
        <v>168</v>
      </c>
      <c r="B85">
        <v>8250</v>
      </c>
      <c r="D85" s="165">
        <f>'General Fund - Revenue'!M50</f>
        <v>316364.05</v>
      </c>
      <c r="G85" s="43"/>
      <c r="H85" s="43"/>
      <c r="I85" s="43"/>
      <c r="AT85"/>
    </row>
    <row r="86" spans="1:46" x14ac:dyDescent="0.25">
      <c r="A86" t="s">
        <v>169</v>
      </c>
      <c r="B86">
        <v>8255</v>
      </c>
      <c r="D86" s="165">
        <f>'General Fund - Revenue'!M51</f>
        <v>0</v>
      </c>
      <c r="G86" s="43"/>
      <c r="H86" s="43"/>
      <c r="I86" s="43"/>
      <c r="AT86"/>
    </row>
    <row r="87" spans="1:46" x14ac:dyDescent="0.25">
      <c r="A87" t="s">
        <v>170</v>
      </c>
      <c r="B87">
        <v>8260</v>
      </c>
      <c r="D87" s="165">
        <f>'General Fund - Revenue'!M52</f>
        <v>0</v>
      </c>
      <c r="G87" s="43"/>
      <c r="H87" s="43"/>
      <c r="I87" s="43"/>
      <c r="AT87"/>
    </row>
    <row r="88" spans="1:46" x14ac:dyDescent="0.25">
      <c r="A88" t="s">
        <v>171</v>
      </c>
      <c r="B88">
        <v>8265</v>
      </c>
      <c r="D88" s="165">
        <f>'General Fund - Revenue'!M53</f>
        <v>294988.21000000002</v>
      </c>
      <c r="G88" s="43"/>
      <c r="H88" s="43"/>
      <c r="I88" s="43"/>
      <c r="AT88"/>
    </row>
    <row r="89" spans="1:46" x14ac:dyDescent="0.25">
      <c r="A89" t="s">
        <v>172</v>
      </c>
      <c r="B89">
        <v>8270</v>
      </c>
      <c r="D89" s="166">
        <f>'General Fund - Revenue'!M54</f>
        <v>145904.06</v>
      </c>
      <c r="G89" s="43"/>
      <c r="H89" s="43"/>
      <c r="I89" s="43"/>
      <c r="AT89"/>
    </row>
    <row r="90" spans="1:46" x14ac:dyDescent="0.25">
      <c r="A90" t="s">
        <v>173</v>
      </c>
      <c r="B90">
        <v>9110</v>
      </c>
      <c r="C90" s="164">
        <f>'General Fund - Revenue'!M55</f>
        <v>2187.75</v>
      </c>
      <c r="G90" s="43"/>
      <c r="H90" s="43"/>
      <c r="I90" s="43"/>
      <c r="AT90"/>
    </row>
    <row r="91" spans="1:46" x14ac:dyDescent="0.25">
      <c r="A91" t="s">
        <v>174</v>
      </c>
      <c r="B91">
        <v>9115</v>
      </c>
      <c r="C91" s="165">
        <f>'General Fund - Revenue'!M56</f>
        <v>1812.5</v>
      </c>
      <c r="G91" s="43"/>
      <c r="H91" s="43"/>
      <c r="I91" s="43"/>
      <c r="AT91"/>
    </row>
    <row r="92" spans="1:46" x14ac:dyDescent="0.25">
      <c r="A92" t="s">
        <v>175</v>
      </c>
      <c r="B92">
        <v>9125</v>
      </c>
      <c r="C92" s="165">
        <f>'General Fund - Revenue'!M57</f>
        <v>586.32000000000005</v>
      </c>
      <c r="G92" s="43"/>
      <c r="H92" s="43"/>
      <c r="I92" s="43"/>
      <c r="AT92"/>
    </row>
    <row r="93" spans="1:46" x14ac:dyDescent="0.25">
      <c r="A93" t="s">
        <v>176</v>
      </c>
      <c r="B93">
        <v>9130</v>
      </c>
      <c r="C93" s="165">
        <f>'General Fund - Revenue'!M58</f>
        <v>0</v>
      </c>
      <c r="G93" s="43"/>
      <c r="H93" s="43"/>
      <c r="I93" s="43"/>
      <c r="AT93"/>
    </row>
    <row r="94" spans="1:46" x14ac:dyDescent="0.25">
      <c r="A94" t="s">
        <v>177</v>
      </c>
      <c r="B94">
        <v>9190</v>
      </c>
      <c r="C94" s="166">
        <f>'General Fund - Revenue'!M59</f>
        <v>59718.54</v>
      </c>
      <c r="G94" s="43"/>
      <c r="H94" s="43"/>
      <c r="I94" s="43"/>
      <c r="AT94"/>
    </row>
    <row r="95" spans="1:46" x14ac:dyDescent="0.25">
      <c r="A95" t="s">
        <v>227</v>
      </c>
      <c r="B95">
        <v>9605</v>
      </c>
      <c r="G95" s="43"/>
      <c r="H95" s="43"/>
      <c r="I95" s="72">
        <f>'General Fund - Revenue'!M60</f>
        <v>92356.14</v>
      </c>
      <c r="AT95"/>
    </row>
    <row r="96" spans="1:46" x14ac:dyDescent="0.25">
      <c r="A96" t="s">
        <v>178</v>
      </c>
      <c r="B96">
        <v>9710</v>
      </c>
      <c r="G96" s="43"/>
      <c r="H96" s="72">
        <f>'General Fund - Revenue'!M61</f>
        <v>18643.18</v>
      </c>
      <c r="I96" s="43"/>
      <c r="AT96"/>
    </row>
    <row r="97" spans="1:46" x14ac:dyDescent="0.25">
      <c r="A97" t="s">
        <v>179</v>
      </c>
      <c r="B97">
        <v>9805</v>
      </c>
      <c r="C97" s="164">
        <f>'General Fund - Revenue'!M62</f>
        <v>0</v>
      </c>
      <c r="G97" s="43"/>
      <c r="H97" s="43"/>
      <c r="I97" s="43"/>
      <c r="AT97"/>
    </row>
    <row r="98" spans="1:46" x14ac:dyDescent="0.25">
      <c r="A98" t="s">
        <v>180</v>
      </c>
      <c r="B98">
        <v>9810</v>
      </c>
      <c r="C98" s="166">
        <f>'General Fund - Revenue'!M63</f>
        <v>0</v>
      </c>
      <c r="G98" s="43"/>
      <c r="H98" s="43"/>
      <c r="I98" s="43"/>
      <c r="J98" s="167" t="s">
        <v>83</v>
      </c>
      <c r="AT98"/>
    </row>
    <row r="99" spans="1:46" x14ac:dyDescent="0.25">
      <c r="A99" s="127" t="s">
        <v>73</v>
      </c>
      <c r="C99" s="150">
        <f>SUM(C42:C98)</f>
        <v>750424.97000000009</v>
      </c>
      <c r="D99" s="151">
        <f t="shared" ref="D99:I99" si="1">SUM(D42:D98)</f>
        <v>1199160.3</v>
      </c>
      <c r="E99" s="153">
        <f t="shared" si="1"/>
        <v>36674.659999999996</v>
      </c>
      <c r="F99" s="152">
        <f t="shared" si="1"/>
        <v>225397.15</v>
      </c>
      <c r="G99" s="154">
        <f t="shared" si="1"/>
        <v>0</v>
      </c>
      <c r="H99" s="155">
        <f t="shared" si="1"/>
        <v>18643.18</v>
      </c>
      <c r="I99" s="169">
        <f t="shared" si="1"/>
        <v>92356.14</v>
      </c>
      <c r="J99" s="127">
        <f>SUM(C99:I99)</f>
        <v>2322656.4000000004</v>
      </c>
      <c r="AT99"/>
    </row>
    <row r="100" spans="1:46" x14ac:dyDescent="0.25">
      <c r="A100" s="43"/>
      <c r="G100" s="43"/>
      <c r="H100" s="43"/>
      <c r="I100" s="43"/>
      <c r="AT100"/>
    </row>
    <row r="101" spans="1:46" ht="21" x14ac:dyDescent="0.35">
      <c r="A101" s="157"/>
      <c r="G101" s="43"/>
      <c r="H101" s="43"/>
      <c r="I101" s="43"/>
      <c r="AT101"/>
    </row>
    <row r="102" spans="1:46" x14ac:dyDescent="0.25">
      <c r="A102" s="43"/>
      <c r="C102" s="127"/>
      <c r="D102" s="127"/>
      <c r="E102" s="127"/>
      <c r="F102" s="127"/>
      <c r="G102" s="127"/>
      <c r="H102" s="127"/>
      <c r="I102" s="127"/>
      <c r="AT102"/>
    </row>
    <row r="103" spans="1:46" ht="21" x14ac:dyDescent="0.35">
      <c r="A103" s="157" t="s">
        <v>491</v>
      </c>
      <c r="C103" s="170" t="s">
        <v>493</v>
      </c>
      <c r="D103" s="128"/>
      <c r="E103" s="128"/>
      <c r="F103" s="128"/>
      <c r="G103" s="128"/>
      <c r="H103" s="128"/>
      <c r="I103" s="128"/>
      <c r="J103" s="128"/>
      <c r="K103" s="128"/>
      <c r="L103" s="128"/>
      <c r="AT103"/>
    </row>
    <row r="104" spans="1:46" x14ac:dyDescent="0.25">
      <c r="A104" s="43"/>
      <c r="C104" s="127" t="s">
        <v>120</v>
      </c>
      <c r="D104" s="127" t="s">
        <v>121</v>
      </c>
      <c r="E104" s="127" t="s">
        <v>122</v>
      </c>
      <c r="F104" s="127" t="s">
        <v>123</v>
      </c>
      <c r="G104" s="127" t="s">
        <v>162</v>
      </c>
      <c r="H104" s="127" t="s">
        <v>488</v>
      </c>
      <c r="I104" s="127" t="s">
        <v>489</v>
      </c>
      <c r="AT104"/>
    </row>
    <row r="105" spans="1:46" x14ac:dyDescent="0.25">
      <c r="A105" t="s">
        <v>131</v>
      </c>
      <c r="B105">
        <v>1100</v>
      </c>
      <c r="C105" s="158">
        <f>'General Fund - Revenue'!L7</f>
        <v>5150.8100000000004</v>
      </c>
      <c r="G105" s="43"/>
      <c r="H105" s="43"/>
      <c r="I105" s="43"/>
      <c r="AT105"/>
    </row>
    <row r="106" spans="1:46" x14ac:dyDescent="0.25">
      <c r="A106" t="s">
        <v>132</v>
      </c>
      <c r="B106">
        <v>1105</v>
      </c>
      <c r="C106" s="159">
        <f>'General Fund - Revenue'!L8+283321</f>
        <v>292998.86</v>
      </c>
      <c r="G106" s="43"/>
      <c r="H106" s="43"/>
      <c r="I106" s="43"/>
      <c r="AT106"/>
    </row>
    <row r="107" spans="1:46" x14ac:dyDescent="0.25">
      <c r="A107" t="s">
        <v>133</v>
      </c>
      <c r="B107">
        <v>1135</v>
      </c>
      <c r="C107" s="159">
        <f>'General Fund - Revenue'!L9</f>
        <v>0</v>
      </c>
      <c r="G107" s="43"/>
      <c r="H107" s="43"/>
      <c r="I107" s="43"/>
      <c r="AT107"/>
    </row>
    <row r="108" spans="1:46" x14ac:dyDescent="0.25">
      <c r="A108" t="s">
        <v>134</v>
      </c>
      <c r="B108">
        <v>1140</v>
      </c>
      <c r="C108" s="159">
        <f>'General Fund - Revenue'!L10</f>
        <v>0</v>
      </c>
      <c r="G108" s="43"/>
      <c r="H108" s="43"/>
      <c r="I108" s="43"/>
      <c r="AT108"/>
    </row>
    <row r="109" spans="1:46" x14ac:dyDescent="0.25">
      <c r="A109" t="s">
        <v>135</v>
      </c>
      <c r="B109">
        <v>1145</v>
      </c>
      <c r="C109" s="159">
        <f>'General Fund - Revenue'!L11</f>
        <v>0</v>
      </c>
      <c r="G109" s="43"/>
      <c r="H109" s="43"/>
      <c r="I109" s="43"/>
      <c r="AT109"/>
    </row>
    <row r="110" spans="1:46" x14ac:dyDescent="0.25">
      <c r="A110" t="s">
        <v>136</v>
      </c>
      <c r="B110">
        <v>1152</v>
      </c>
      <c r="C110" s="159">
        <f>'General Fund - Revenue'!L12</f>
        <v>0</v>
      </c>
      <c r="G110" s="43"/>
      <c r="H110" s="43"/>
      <c r="I110" s="43"/>
      <c r="AT110"/>
    </row>
    <row r="111" spans="1:46" x14ac:dyDescent="0.25">
      <c r="A111" t="s">
        <v>137</v>
      </c>
      <c r="B111">
        <v>1155</v>
      </c>
      <c r="C111" s="159">
        <f>'General Fund - Revenue'!L13</f>
        <v>0</v>
      </c>
      <c r="G111" s="43"/>
      <c r="H111" s="43"/>
      <c r="I111" s="43"/>
      <c r="AT111"/>
    </row>
    <row r="112" spans="1:46" x14ac:dyDescent="0.25">
      <c r="A112" t="s">
        <v>138</v>
      </c>
      <c r="B112">
        <v>1160</v>
      </c>
      <c r="C112" s="159">
        <f>'General Fund - Revenue'!L14</f>
        <v>0</v>
      </c>
      <c r="G112" s="43"/>
      <c r="H112" s="43"/>
      <c r="I112" s="43"/>
      <c r="AT112"/>
    </row>
    <row r="113" spans="1:46" x14ac:dyDescent="0.25">
      <c r="A113" t="s">
        <v>139</v>
      </c>
      <c r="B113">
        <v>1162</v>
      </c>
      <c r="C113" s="159">
        <f>'General Fund - Revenue'!L15</f>
        <v>11394.75</v>
      </c>
      <c r="G113" s="43"/>
      <c r="H113" s="43"/>
      <c r="I113" s="43"/>
      <c r="AT113"/>
    </row>
    <row r="114" spans="1:46" x14ac:dyDescent="0.25">
      <c r="A114" t="s">
        <v>140</v>
      </c>
      <c r="B114">
        <v>1164</v>
      </c>
      <c r="C114" s="159">
        <f>'General Fund - Revenue'!M16</f>
        <v>0</v>
      </c>
      <c r="G114" s="43"/>
      <c r="H114" s="43"/>
      <c r="I114" s="43"/>
      <c r="AT114"/>
    </row>
    <row r="115" spans="1:46" x14ac:dyDescent="0.25">
      <c r="A115" s="32" t="s">
        <v>298</v>
      </c>
      <c r="B115" s="32">
        <v>1166</v>
      </c>
      <c r="C115" s="159">
        <f>'General Fund - Revenue'!L17</f>
        <v>0</v>
      </c>
      <c r="G115" s="43"/>
      <c r="H115" s="43"/>
      <c r="I115" s="43"/>
      <c r="AT115"/>
    </row>
    <row r="116" spans="1:46" x14ac:dyDescent="0.25">
      <c r="A116" t="s">
        <v>141</v>
      </c>
      <c r="B116" s="32">
        <v>1167</v>
      </c>
      <c r="C116" s="159">
        <f>'General Fund - Revenue'!L18</f>
        <v>0</v>
      </c>
      <c r="G116" s="43"/>
      <c r="H116" s="43"/>
      <c r="I116" s="43"/>
      <c r="AT116"/>
    </row>
    <row r="117" spans="1:46" x14ac:dyDescent="0.25">
      <c r="A117" t="s">
        <v>142</v>
      </c>
      <c r="B117">
        <v>1168</v>
      </c>
      <c r="C117" s="159">
        <f>'General Fund - Revenue'!L19</f>
        <v>0</v>
      </c>
      <c r="G117" s="43"/>
      <c r="H117" s="43"/>
      <c r="I117" s="43"/>
      <c r="AT117"/>
    </row>
    <row r="118" spans="1:46" x14ac:dyDescent="0.25">
      <c r="A118" t="s">
        <v>397</v>
      </c>
      <c r="B118">
        <v>1169</v>
      </c>
      <c r="C118" s="159">
        <f>'General Fund - Revenue'!L20</f>
        <v>82505.06</v>
      </c>
      <c r="G118" s="43"/>
      <c r="H118" s="43"/>
      <c r="I118" s="43"/>
      <c r="AT118"/>
    </row>
    <row r="119" spans="1:46" x14ac:dyDescent="0.25">
      <c r="A119" t="s">
        <v>143</v>
      </c>
      <c r="B119">
        <v>1171</v>
      </c>
      <c r="C119" s="160">
        <f>'General Fund - Revenue'!L21</f>
        <v>0</v>
      </c>
      <c r="G119" s="43"/>
      <c r="H119" s="43"/>
      <c r="I119" s="43"/>
      <c r="AT119"/>
    </row>
    <row r="120" spans="1:46" x14ac:dyDescent="0.25">
      <c r="A120" t="s">
        <v>144</v>
      </c>
      <c r="B120">
        <v>1200</v>
      </c>
      <c r="D120" s="161">
        <f>'General Fund - Revenue'!L22</f>
        <v>1758.0800000000004</v>
      </c>
      <c r="G120" s="43"/>
      <c r="H120" s="43"/>
      <c r="I120" s="43"/>
      <c r="AT120"/>
    </row>
    <row r="121" spans="1:46" x14ac:dyDescent="0.25">
      <c r="A121" t="s">
        <v>145</v>
      </c>
      <c r="B121">
        <v>1300</v>
      </c>
      <c r="E121" s="161">
        <f>'General Fund - Revenue'!L23</f>
        <v>-7305.82</v>
      </c>
      <c r="G121" s="43"/>
      <c r="H121" s="43"/>
      <c r="I121" s="43"/>
      <c r="AT121"/>
    </row>
    <row r="122" spans="1:46" x14ac:dyDescent="0.25">
      <c r="A122" t="s">
        <v>146</v>
      </c>
      <c r="B122">
        <v>1400</v>
      </c>
      <c r="F122" s="161">
        <f>'General Fund - Revenue'!L24</f>
        <v>0</v>
      </c>
      <c r="G122" s="43"/>
      <c r="H122" s="43"/>
      <c r="I122" s="43"/>
      <c r="AT122"/>
    </row>
    <row r="123" spans="1:46" x14ac:dyDescent="0.25">
      <c r="A123" t="s">
        <v>147</v>
      </c>
      <c r="B123">
        <v>1500</v>
      </c>
      <c r="G123" s="161">
        <f>'General Fund - Revenue'!L25</f>
        <v>0</v>
      </c>
      <c r="H123" s="43"/>
      <c r="I123" s="43"/>
      <c r="AT123"/>
    </row>
    <row r="124" spans="1:46" x14ac:dyDescent="0.25">
      <c r="A124" t="s">
        <v>225</v>
      </c>
      <c r="B124">
        <v>1600</v>
      </c>
      <c r="G124" s="43"/>
      <c r="H124" s="43"/>
      <c r="I124" s="161">
        <f>'General Fund - Revenue'!L26</f>
        <v>-17273.2</v>
      </c>
      <c r="AT124"/>
    </row>
    <row r="125" spans="1:46" x14ac:dyDescent="0.25">
      <c r="A125" t="s">
        <v>148</v>
      </c>
      <c r="B125">
        <v>1700</v>
      </c>
      <c r="G125" s="43"/>
      <c r="H125" s="161">
        <f>'General Fund - Revenue'!L27</f>
        <v>0</v>
      </c>
      <c r="I125" s="43"/>
      <c r="AT125"/>
    </row>
    <row r="126" spans="1:46" x14ac:dyDescent="0.25">
      <c r="A126" t="s">
        <v>226</v>
      </c>
      <c r="B126"/>
      <c r="C126" s="161">
        <f>'General Fund - Revenue'!I8</f>
        <v>0</v>
      </c>
      <c r="D126" s="43" t="s">
        <v>218</v>
      </c>
      <c r="G126" s="43"/>
      <c r="H126" s="43"/>
      <c r="I126" s="43"/>
      <c r="AT126"/>
    </row>
    <row r="127" spans="1:46" x14ac:dyDescent="0.25">
      <c r="A127" t="s">
        <v>149</v>
      </c>
      <c r="B127">
        <v>1905</v>
      </c>
      <c r="C127" s="161">
        <f>'General Fund - Revenue'!L29</f>
        <v>0</v>
      </c>
      <c r="G127" s="43"/>
      <c r="H127" s="43"/>
      <c r="I127" s="43"/>
      <c r="AT127"/>
    </row>
    <row r="128" spans="1:46" x14ac:dyDescent="0.25">
      <c r="A128" t="s">
        <v>150</v>
      </c>
      <c r="B128">
        <v>2205</v>
      </c>
      <c r="D128" s="158">
        <f>'General Fund - Revenue'!L30</f>
        <v>91099</v>
      </c>
      <c r="G128" s="43"/>
      <c r="H128" s="43"/>
      <c r="I128" s="43"/>
      <c r="AT128"/>
    </row>
    <row r="129" spans="1:46" x14ac:dyDescent="0.25">
      <c r="A129" t="s">
        <v>151</v>
      </c>
      <c r="B129">
        <v>2210</v>
      </c>
      <c r="D129" s="159">
        <f>'General Fund - Revenue'!L31</f>
        <v>0</v>
      </c>
      <c r="G129" s="43"/>
      <c r="H129" s="43"/>
      <c r="I129" s="43"/>
      <c r="AT129"/>
    </row>
    <row r="130" spans="1:46" x14ac:dyDescent="0.25">
      <c r="A130" t="s">
        <v>152</v>
      </c>
      <c r="B130">
        <v>2215</v>
      </c>
      <c r="D130" s="159">
        <f>'General Fund - Revenue'!L32</f>
        <v>0</v>
      </c>
      <c r="G130" s="43"/>
      <c r="H130" s="43"/>
      <c r="I130" s="43"/>
      <c r="AT130"/>
    </row>
    <row r="131" spans="1:46" x14ac:dyDescent="0.25">
      <c r="A131" t="s">
        <v>153</v>
      </c>
      <c r="B131">
        <v>2225</v>
      </c>
      <c r="D131" s="159">
        <f>'General Fund - Revenue'!L33</f>
        <v>0</v>
      </c>
      <c r="G131" s="43"/>
      <c r="H131" s="43"/>
      <c r="I131" s="43"/>
      <c r="AT131"/>
    </row>
    <row r="132" spans="1:46" x14ac:dyDescent="0.25">
      <c r="A132" t="s">
        <v>154</v>
      </c>
      <c r="B132">
        <v>2230</v>
      </c>
      <c r="D132" s="159">
        <f>'General Fund - Revenue'!L34</f>
        <v>0</v>
      </c>
      <c r="G132" s="43"/>
      <c r="H132" s="43"/>
      <c r="I132" s="43"/>
      <c r="AT132"/>
    </row>
    <row r="133" spans="1:46" x14ac:dyDescent="0.25">
      <c r="A133" t="s">
        <v>398</v>
      </c>
      <c r="B133">
        <v>2235</v>
      </c>
      <c r="D133" s="159">
        <f>'General Fund - Revenue'!L35</f>
        <v>0</v>
      </c>
      <c r="G133" s="43"/>
      <c r="H133" s="43"/>
      <c r="I133" s="43"/>
      <c r="AT133"/>
    </row>
    <row r="134" spans="1:46" x14ac:dyDescent="0.25">
      <c r="A134" t="s">
        <v>399</v>
      </c>
      <c r="B134">
        <v>2240</v>
      </c>
      <c r="D134" s="159">
        <f>'General Fund - Revenue'!L36</f>
        <v>0</v>
      </c>
      <c r="G134" s="43"/>
      <c r="H134" s="43"/>
      <c r="I134" s="43"/>
      <c r="AT134"/>
    </row>
    <row r="135" spans="1:46" x14ac:dyDescent="0.25">
      <c r="A135" t="s">
        <v>155</v>
      </c>
      <c r="B135">
        <v>2310</v>
      </c>
      <c r="D135" s="159">
        <f>'General Fund - Revenue'!L37</f>
        <v>11923.56</v>
      </c>
      <c r="G135" s="43"/>
      <c r="H135" s="43"/>
      <c r="I135" s="43"/>
      <c r="AT135"/>
    </row>
    <row r="136" spans="1:46" x14ac:dyDescent="0.25">
      <c r="A136" t="s">
        <v>156</v>
      </c>
      <c r="B136">
        <v>2311</v>
      </c>
      <c r="D136" s="160">
        <f>'General Fund - Revenue'!L38</f>
        <v>127250.66</v>
      </c>
      <c r="G136" s="43"/>
      <c r="H136" s="43"/>
      <c r="I136" s="43"/>
      <c r="AT136"/>
    </row>
    <row r="137" spans="1:46" x14ac:dyDescent="0.25">
      <c r="A137" t="s">
        <v>157</v>
      </c>
      <c r="B137">
        <v>3305</v>
      </c>
      <c r="E137" s="158">
        <f>'General Fund - Revenue'!L39</f>
        <v>0</v>
      </c>
      <c r="G137" s="43"/>
      <c r="H137" s="43"/>
      <c r="I137" s="43"/>
      <c r="AT137"/>
    </row>
    <row r="138" spans="1:46" x14ac:dyDescent="0.25">
      <c r="A138" t="s">
        <v>159</v>
      </c>
      <c r="B138">
        <v>4315</v>
      </c>
      <c r="E138" s="159">
        <f>'General Fund - Revenue'!L40</f>
        <v>0</v>
      </c>
      <c r="G138" s="43"/>
      <c r="H138" s="43"/>
      <c r="I138" s="43"/>
      <c r="AT138"/>
    </row>
    <row r="139" spans="1:46" x14ac:dyDescent="0.25">
      <c r="A139" t="s">
        <v>158</v>
      </c>
      <c r="B139">
        <v>4320</v>
      </c>
      <c r="E139" s="159">
        <f>'General Fund - Revenue'!L41</f>
        <v>173353.63</v>
      </c>
      <c r="G139" s="43"/>
      <c r="H139" s="43"/>
      <c r="I139" s="43"/>
      <c r="AT139"/>
    </row>
    <row r="140" spans="1:46" x14ac:dyDescent="0.25">
      <c r="A140" t="s">
        <v>160</v>
      </c>
      <c r="B140">
        <v>4325</v>
      </c>
      <c r="E140" s="160">
        <f>'General Fund - Revenue'!L42</f>
        <v>0</v>
      </c>
      <c r="G140" s="43"/>
      <c r="H140" s="43"/>
      <c r="I140" s="43"/>
      <c r="AT140"/>
    </row>
    <row r="141" spans="1:46" x14ac:dyDescent="0.25">
      <c r="A141" t="s">
        <v>161</v>
      </c>
      <c r="B141">
        <v>4405</v>
      </c>
      <c r="F141" s="161">
        <f>'General Fund - Revenue'!L43</f>
        <v>0</v>
      </c>
      <c r="G141" s="43"/>
      <c r="H141" s="43"/>
      <c r="I141" s="43"/>
      <c r="AT141"/>
    </row>
    <row r="142" spans="1:46" x14ac:dyDescent="0.25">
      <c r="A142" t="s">
        <v>162</v>
      </c>
      <c r="B142">
        <v>5505</v>
      </c>
      <c r="G142" s="161">
        <f>'General Fund - Revenue'!L44</f>
        <v>0</v>
      </c>
      <c r="H142" s="43"/>
      <c r="I142" s="43"/>
      <c r="AT142"/>
    </row>
    <row r="143" spans="1:46" x14ac:dyDescent="0.25">
      <c r="A143" t="s">
        <v>163</v>
      </c>
      <c r="B143">
        <v>5507</v>
      </c>
      <c r="C143" s="158">
        <f>'General Fund - Revenue'!L45</f>
        <v>0</v>
      </c>
      <c r="G143" s="162"/>
      <c r="H143" s="43"/>
      <c r="I143" s="43"/>
      <c r="AT143"/>
    </row>
    <row r="144" spans="1:46" x14ac:dyDescent="0.25">
      <c r="A144" t="s">
        <v>164</v>
      </c>
      <c r="B144">
        <v>8175</v>
      </c>
      <c r="C144" s="159">
        <f>'General Fund - Revenue'!L46</f>
        <v>0</v>
      </c>
      <c r="G144" s="43"/>
      <c r="H144" s="43"/>
      <c r="I144" s="43"/>
      <c r="AT144"/>
    </row>
    <row r="145" spans="1:46" x14ac:dyDescent="0.25">
      <c r="A145" t="s">
        <v>165</v>
      </c>
      <c r="B145">
        <v>8180</v>
      </c>
      <c r="C145" s="159">
        <f>'General Fund - Revenue'!L47</f>
        <v>0</v>
      </c>
      <c r="G145" s="43"/>
      <c r="H145" s="43"/>
      <c r="I145" s="43"/>
      <c r="AT145"/>
    </row>
    <row r="146" spans="1:46" x14ac:dyDescent="0.25">
      <c r="A146" t="s">
        <v>166</v>
      </c>
      <c r="B146">
        <v>8185</v>
      </c>
      <c r="C146" s="160">
        <f>'General Fund - Revenue'!L48</f>
        <v>0</v>
      </c>
      <c r="G146" s="43"/>
      <c r="H146" s="43"/>
      <c r="I146" s="43"/>
      <c r="AT146"/>
    </row>
    <row r="147" spans="1:46" x14ac:dyDescent="0.25">
      <c r="A147" t="s">
        <v>167</v>
      </c>
      <c r="B147">
        <v>8245</v>
      </c>
      <c r="C147" s="162"/>
      <c r="D147" s="158">
        <f>'General Fund - Revenue'!L49</f>
        <v>0</v>
      </c>
      <c r="G147" s="43"/>
      <c r="H147" s="43"/>
      <c r="I147" s="43"/>
      <c r="AT147"/>
    </row>
    <row r="148" spans="1:46" x14ac:dyDescent="0.25">
      <c r="A148" t="s">
        <v>168</v>
      </c>
      <c r="B148">
        <v>8250</v>
      </c>
      <c r="D148" s="159">
        <f>'General Fund - Revenue'!L50</f>
        <v>0</v>
      </c>
      <c r="G148" s="43"/>
      <c r="H148" s="43"/>
      <c r="I148" s="43"/>
      <c r="AT148"/>
    </row>
    <row r="149" spans="1:46" x14ac:dyDescent="0.25">
      <c r="A149" t="s">
        <v>169</v>
      </c>
      <c r="B149">
        <v>8255</v>
      </c>
      <c r="D149" s="159">
        <f>'General Fund - Revenue'!L51</f>
        <v>14459.630000000001</v>
      </c>
      <c r="G149" s="43"/>
      <c r="H149" s="43"/>
      <c r="I149" s="43"/>
      <c r="AT149"/>
    </row>
    <row r="150" spans="1:46" x14ac:dyDescent="0.25">
      <c r="A150" t="s">
        <v>170</v>
      </c>
      <c r="B150">
        <v>8260</v>
      </c>
      <c r="D150" s="159">
        <f>'General Fund - Revenue'!L52</f>
        <v>314058.12</v>
      </c>
      <c r="G150" s="43"/>
      <c r="H150" s="43"/>
      <c r="I150" s="43"/>
      <c r="AT150"/>
    </row>
    <row r="151" spans="1:46" x14ac:dyDescent="0.25">
      <c r="A151" t="s">
        <v>171</v>
      </c>
      <c r="B151">
        <v>8265</v>
      </c>
      <c r="D151" s="159">
        <f>'General Fund - Revenue'!L53</f>
        <v>0</v>
      </c>
      <c r="G151" s="43"/>
      <c r="H151" s="43"/>
      <c r="I151" s="43"/>
      <c r="AT151"/>
    </row>
    <row r="152" spans="1:46" x14ac:dyDescent="0.25">
      <c r="A152" t="s">
        <v>172</v>
      </c>
      <c r="B152">
        <v>8270</v>
      </c>
      <c r="D152" s="160">
        <f>'General Fund - Revenue'!L54</f>
        <v>475</v>
      </c>
      <c r="G152" s="43"/>
      <c r="H152" s="43"/>
      <c r="I152" s="43"/>
      <c r="AT152"/>
    </row>
    <row r="153" spans="1:46" x14ac:dyDescent="0.25">
      <c r="A153" t="s">
        <v>173</v>
      </c>
      <c r="B153">
        <v>9110</v>
      </c>
      <c r="C153" s="158">
        <f>'General Fund - Revenue'!L55</f>
        <v>0</v>
      </c>
      <c r="G153" s="43"/>
      <c r="H153" s="43"/>
      <c r="I153" s="43"/>
      <c r="AT153"/>
    </row>
    <row r="154" spans="1:46" x14ac:dyDescent="0.25">
      <c r="A154" t="s">
        <v>174</v>
      </c>
      <c r="B154">
        <v>9115</v>
      </c>
      <c r="C154" s="159">
        <f>'General Fund - Revenue'!L56</f>
        <v>52262.46</v>
      </c>
      <c r="G154" s="43"/>
      <c r="H154" s="43"/>
      <c r="I154" s="43"/>
      <c r="AT154"/>
    </row>
    <row r="155" spans="1:46" x14ac:dyDescent="0.25">
      <c r="A155" t="s">
        <v>175</v>
      </c>
      <c r="B155">
        <v>9125</v>
      </c>
      <c r="C155" s="159">
        <f>'General Fund - Revenue'!L57</f>
        <v>0</v>
      </c>
      <c r="G155" s="43"/>
      <c r="H155" s="43"/>
      <c r="I155" s="43"/>
      <c r="AT155"/>
    </row>
    <row r="156" spans="1:46" x14ac:dyDescent="0.25">
      <c r="A156" t="s">
        <v>176</v>
      </c>
      <c r="B156">
        <v>9130</v>
      </c>
      <c r="C156" s="159">
        <f>'General Fund - Revenue'!L58</f>
        <v>0</v>
      </c>
      <c r="G156" s="43"/>
      <c r="H156" s="43"/>
      <c r="I156" s="43"/>
      <c r="AT156"/>
    </row>
    <row r="157" spans="1:46" x14ac:dyDescent="0.25">
      <c r="A157" t="s">
        <v>177</v>
      </c>
      <c r="B157">
        <v>9190</v>
      </c>
      <c r="C157" s="160">
        <f>'General Fund - Revenue'!L59</f>
        <v>519618.64999999997</v>
      </c>
      <c r="G157" s="43"/>
      <c r="H157" s="43"/>
      <c r="I157" s="43"/>
      <c r="AT157"/>
    </row>
    <row r="158" spans="1:46" x14ac:dyDescent="0.25">
      <c r="A158" t="s">
        <v>227</v>
      </c>
      <c r="B158">
        <v>9605</v>
      </c>
      <c r="G158" s="43"/>
      <c r="H158" s="43"/>
      <c r="I158" s="161">
        <f>'General Fund - Revenue'!L60</f>
        <v>43183</v>
      </c>
      <c r="AT158"/>
    </row>
    <row r="159" spans="1:46" x14ac:dyDescent="0.25">
      <c r="A159" t="s">
        <v>178</v>
      </c>
      <c r="B159">
        <v>9710</v>
      </c>
      <c r="G159" s="43"/>
      <c r="H159" s="161">
        <f>11375</f>
        <v>11375</v>
      </c>
      <c r="I159" s="43"/>
      <c r="AT159"/>
    </row>
    <row r="160" spans="1:46" x14ac:dyDescent="0.25">
      <c r="A160" t="s">
        <v>179</v>
      </c>
      <c r="B160">
        <v>9805</v>
      </c>
      <c r="C160" s="158">
        <f>'General Fund - Revenue'!L62</f>
        <v>0</v>
      </c>
      <c r="G160" s="43"/>
      <c r="H160" s="43"/>
      <c r="I160" s="43"/>
      <c r="AT160"/>
    </row>
    <row r="161" spans="1:46" x14ac:dyDescent="0.25">
      <c r="A161" t="s">
        <v>180</v>
      </c>
      <c r="B161">
        <v>9810</v>
      </c>
      <c r="C161" s="159">
        <f>'General Fund - Revenue'!L63</f>
        <v>0</v>
      </c>
      <c r="G161" s="43"/>
      <c r="H161" s="43"/>
      <c r="I161" s="43"/>
      <c r="J161" s="167" t="s">
        <v>83</v>
      </c>
      <c r="AT161"/>
    </row>
    <row r="162" spans="1:46" x14ac:dyDescent="0.25">
      <c r="A162" s="127" t="s">
        <v>73</v>
      </c>
      <c r="C162" s="150">
        <f t="shared" ref="C162:I162" si="2">SUM(C105:C161)</f>
        <v>963930.59</v>
      </c>
      <c r="D162" s="151">
        <f t="shared" si="2"/>
        <v>561024.05000000005</v>
      </c>
      <c r="E162" s="153">
        <f t="shared" si="2"/>
        <v>166047.81</v>
      </c>
      <c r="F162" s="152">
        <f t="shared" si="2"/>
        <v>0</v>
      </c>
      <c r="G162" s="154">
        <f t="shared" si="2"/>
        <v>0</v>
      </c>
      <c r="H162" s="155">
        <f t="shared" si="2"/>
        <v>11375</v>
      </c>
      <c r="I162" s="169">
        <f t="shared" si="2"/>
        <v>25909.8</v>
      </c>
      <c r="J162" s="127">
        <f>SUM(C162:I162)</f>
        <v>1728287.2500000002</v>
      </c>
      <c r="AT162"/>
    </row>
    <row r="163" spans="1:46" x14ac:dyDescent="0.25">
      <c r="A163" s="43"/>
      <c r="G163" s="43"/>
      <c r="H163" s="43"/>
      <c r="J163"/>
      <c r="AT163"/>
    </row>
    <row r="164" spans="1:46" x14ac:dyDescent="0.25">
      <c r="A164" s="43"/>
      <c r="G164" s="43"/>
      <c r="H164" s="43"/>
      <c r="J164"/>
      <c r="AT164"/>
    </row>
    <row r="165" spans="1:46" ht="60" x14ac:dyDescent="0.25">
      <c r="B165" s="120" t="s">
        <v>470</v>
      </c>
      <c r="C165" s="120" t="s">
        <v>478</v>
      </c>
      <c r="D165" s="120" t="s">
        <v>479</v>
      </c>
      <c r="E165" s="120" t="s">
        <v>125</v>
      </c>
      <c r="F165" s="120" t="s">
        <v>478</v>
      </c>
      <c r="G165" s="120" t="s">
        <v>480</v>
      </c>
      <c r="H165" s="120" t="s">
        <v>471</v>
      </c>
      <c r="I165" s="120" t="s">
        <v>478</v>
      </c>
      <c r="J165" s="120" t="s">
        <v>481</v>
      </c>
      <c r="K165" s="120" t="s">
        <v>472</v>
      </c>
      <c r="L165" s="120" t="s">
        <v>478</v>
      </c>
      <c r="M165" s="120" t="s">
        <v>482</v>
      </c>
      <c r="N165" s="44" t="s">
        <v>54</v>
      </c>
      <c r="O165" s="44" t="s">
        <v>55</v>
      </c>
      <c r="P165" s="44" t="s">
        <v>224</v>
      </c>
      <c r="Q165" s="146" t="s">
        <v>64</v>
      </c>
      <c r="R165" s="146" t="s">
        <v>314</v>
      </c>
      <c r="S165" s="147" t="s">
        <v>400</v>
      </c>
      <c r="T165" s="146" t="s">
        <v>68</v>
      </c>
      <c r="U165" s="146" t="s">
        <v>69</v>
      </c>
      <c r="V165" s="44" t="s">
        <v>70</v>
      </c>
      <c r="W165" s="44" t="s">
        <v>71</v>
      </c>
      <c r="X165" s="44" t="s">
        <v>72</v>
      </c>
      <c r="Y165" s="44" t="s">
        <v>74</v>
      </c>
      <c r="Z165" s="44" t="s">
        <v>75</v>
      </c>
      <c r="AA165" s="44" t="s">
        <v>76</v>
      </c>
      <c r="AB165" s="44" t="s">
        <v>77</v>
      </c>
      <c r="AC165" s="44" t="s">
        <v>78</v>
      </c>
      <c r="AD165" s="44" t="s">
        <v>243</v>
      </c>
      <c r="AE165" s="44" t="s">
        <v>79</v>
      </c>
      <c r="AF165" s="44" t="s">
        <v>81</v>
      </c>
      <c r="AG165" s="44" t="s">
        <v>82</v>
      </c>
      <c r="AH165" s="44" t="s">
        <v>65</v>
      </c>
      <c r="AI165" s="44" t="s">
        <v>485</v>
      </c>
      <c r="AJ165" s="44" t="s">
        <v>483</v>
      </c>
      <c r="AK165" s="44" t="s">
        <v>484</v>
      </c>
      <c r="AL165" s="148" t="s">
        <v>475</v>
      </c>
      <c r="AT165"/>
    </row>
    <row r="166" spans="1:46" x14ac:dyDescent="0.25">
      <c r="A166" s="144" t="s">
        <v>22</v>
      </c>
      <c r="B166" s="43">
        <f>'General Fund'!M59</f>
        <v>2322656.7199999997</v>
      </c>
      <c r="C166" s="108"/>
      <c r="D166" s="43">
        <f>B166+C166</f>
        <v>2322656.7199999997</v>
      </c>
      <c r="E166" s="43">
        <f>'ALL GOVERNMENT FUNDS'!C66</f>
        <v>0</v>
      </c>
      <c r="F166" s="108"/>
      <c r="G166" s="43">
        <f>E166+F166</f>
        <v>0</v>
      </c>
      <c r="H166" s="43">
        <f>'Front Stmts'!D75</f>
        <v>120623.77</v>
      </c>
      <c r="I166" s="108"/>
      <c r="J166" s="154">
        <f>H166+I166</f>
        <v>120623.77</v>
      </c>
      <c r="K166" s="43">
        <f>'ALL GOVERNMENT FUNDS'!E66</f>
        <v>7742.4699999999721</v>
      </c>
      <c r="L166" s="108"/>
      <c r="M166" s="154">
        <f>K166+L166</f>
        <v>7742.4699999999721</v>
      </c>
      <c r="N166" s="152">
        <f>'Other Government'!B52</f>
        <v>0</v>
      </c>
      <c r="O166" s="154">
        <f>'Other Government'!C52</f>
        <v>38615.69</v>
      </c>
      <c r="P166" s="152">
        <f>'Other Government'!D52</f>
        <v>342112.74</v>
      </c>
      <c r="Q166" s="153">
        <f>'Other Government'!E52</f>
        <v>21750</v>
      </c>
      <c r="R166" s="152">
        <f>'Other Government'!F52</f>
        <v>0</v>
      </c>
      <c r="S166" s="151">
        <f>'Other Government'!G52</f>
        <v>27420</v>
      </c>
      <c r="T166" s="151">
        <f>'Other Government'!K52</f>
        <v>55916.34</v>
      </c>
      <c r="U166" s="151">
        <f>'Other Government'!L52</f>
        <v>86754.61</v>
      </c>
      <c r="V166" s="151">
        <f>'Other Government'!M52</f>
        <v>725.03</v>
      </c>
      <c r="W166" s="150">
        <f>'Other Government'!N52</f>
        <v>11102</v>
      </c>
      <c r="X166" s="151">
        <f>'Other Government'!Q52</f>
        <v>8052.09</v>
      </c>
      <c r="Y166" s="154">
        <f>'Other Government'!R52</f>
        <v>0</v>
      </c>
      <c r="Z166" s="154">
        <f>'Other Government'!U52</f>
        <v>0</v>
      </c>
      <c r="AA166" s="154">
        <f>'Other Government'!X52</f>
        <v>0</v>
      </c>
      <c r="AB166" s="154">
        <f>'Other Government'!Y52</f>
        <v>0</v>
      </c>
      <c r="AC166" s="154">
        <f>'Other Government'!Z52</f>
        <v>20</v>
      </c>
      <c r="AD166" s="154">
        <f>'Other Government'!AA52</f>
        <v>0</v>
      </c>
      <c r="AE166" s="43">
        <f>'Other Government'!AB52</f>
        <v>0</v>
      </c>
      <c r="AF166" s="151">
        <f>'Other Government'!AD52</f>
        <v>450</v>
      </c>
      <c r="AG166" s="151">
        <f>'Other Government'!AG52</f>
        <v>120886</v>
      </c>
      <c r="AH166" s="153">
        <f>'Other Government'!AH52</f>
        <v>0</v>
      </c>
      <c r="AI166" s="43">
        <f>SUM(N166:AH166)</f>
        <v>713804.5</v>
      </c>
      <c r="AK166" s="43">
        <f>AI166+AJ166</f>
        <v>713804.5</v>
      </c>
      <c r="AL166" s="43">
        <f>D166+G166+J166+M166+AK166</f>
        <v>3164827.46</v>
      </c>
      <c r="AT166"/>
    </row>
    <row r="167" spans="1:46" ht="30" x14ac:dyDescent="0.25">
      <c r="A167" s="143" t="s">
        <v>473</v>
      </c>
      <c r="B167" s="43">
        <f>'General Fund'!M58</f>
        <v>1728287.25</v>
      </c>
      <c r="C167" s="108"/>
      <c r="D167" s="43">
        <f t="shared" ref="D167:D174" si="3">B167+C167</f>
        <v>1728287.25</v>
      </c>
      <c r="E167" s="43">
        <f>'ALL GOVERNMENT FUNDS'!C65</f>
        <v>0</v>
      </c>
      <c r="F167" s="108"/>
      <c r="G167" s="43">
        <f t="shared" ref="G167:G175" si="4">E167+F167</f>
        <v>0</v>
      </c>
      <c r="H167" s="43">
        <f>'ALL GOVERNMENT FUNDS'!D65</f>
        <v>17031977.220000003</v>
      </c>
      <c r="I167" s="108">
        <v>247508</v>
      </c>
      <c r="J167" s="154">
        <f t="shared" ref="J167:J175" si="5">H167+I167</f>
        <v>17279485.220000003</v>
      </c>
      <c r="K167" s="43">
        <f>'ALL GOVERNMENT FUNDS'!E65</f>
        <v>10046955.27</v>
      </c>
      <c r="L167" s="108"/>
      <c r="M167" s="154">
        <f t="shared" ref="M167:M175" si="6">K167+L167</f>
        <v>10046955.27</v>
      </c>
      <c r="N167" s="152">
        <f>'Other Government'!B51</f>
        <v>576210.89</v>
      </c>
      <c r="O167" s="154">
        <f>'Other Government'!C51</f>
        <v>0</v>
      </c>
      <c r="P167" s="152">
        <f>'Other Government'!D51</f>
        <v>367056.03</v>
      </c>
      <c r="Q167" s="153">
        <f>'Other Government'!E51</f>
        <v>7042.91</v>
      </c>
      <c r="R167" s="152">
        <f>'Other Government'!F51</f>
        <v>158509.39000000001</v>
      </c>
      <c r="S167" s="151">
        <f>'Other Government'!G51</f>
        <v>0</v>
      </c>
      <c r="T167" s="151">
        <f>'Other Government'!K51</f>
        <v>0</v>
      </c>
      <c r="U167" s="151">
        <f>'Other Government'!L51</f>
        <v>0</v>
      </c>
      <c r="V167" s="151">
        <f>'Other Government'!M51</f>
        <v>0</v>
      </c>
      <c r="W167" s="150">
        <f>'Other Government'!N51</f>
        <v>0</v>
      </c>
      <c r="X167" s="151">
        <f>'Other Government'!Q51</f>
        <v>0</v>
      </c>
      <c r="Y167" s="154">
        <f>'Other Government'!R51</f>
        <v>441218.52</v>
      </c>
      <c r="Z167" s="154">
        <f>'Other Government'!U51</f>
        <v>337560</v>
      </c>
      <c r="AA167" s="154">
        <f>'Other Government'!X51</f>
        <v>158732.95000000001</v>
      </c>
      <c r="AB167" s="154">
        <f>'Other Government'!Y51</f>
        <v>21770.37</v>
      </c>
      <c r="AC167" s="154">
        <f>'Other Government'!Z51</f>
        <v>814600.76</v>
      </c>
      <c r="AD167" s="154">
        <f>'Other Government'!AA51</f>
        <v>1325753.23</v>
      </c>
      <c r="AE167" s="43">
        <f>'Other Government'!AB51</f>
        <v>0</v>
      </c>
      <c r="AF167" s="151">
        <f>'Other Government'!AD51</f>
        <v>0</v>
      </c>
      <c r="AG167" s="151">
        <f>'Other Government'!AG51</f>
        <v>339363.97</v>
      </c>
      <c r="AH167" s="153">
        <f>'Other Government'!AH51</f>
        <v>2722330.84</v>
      </c>
      <c r="AI167" s="43">
        <f t="shared" ref="AI167:AI175" si="7">SUM(N167:AH167)</f>
        <v>7270149.8600000003</v>
      </c>
      <c r="AK167" s="43">
        <f t="shared" ref="AK167:AK175" si="8">AI167+AJ167</f>
        <v>7270149.8600000003</v>
      </c>
      <c r="AL167" s="43">
        <f t="shared" ref="AL167:AL175" si="9">D167+G167+J167+M167+AK167</f>
        <v>36324877.600000001</v>
      </c>
      <c r="AT167"/>
    </row>
    <row r="168" spans="1:46" x14ac:dyDescent="0.25">
      <c r="A168" s="145" t="s">
        <v>474</v>
      </c>
      <c r="C168" s="108"/>
      <c r="D168" s="43">
        <f t="shared" si="3"/>
        <v>0</v>
      </c>
      <c r="F168" s="108"/>
      <c r="G168" s="43">
        <f t="shared" si="4"/>
        <v>0</v>
      </c>
      <c r="H168" s="43"/>
      <c r="I168" s="108"/>
      <c r="J168" s="154">
        <f t="shared" si="5"/>
        <v>0</v>
      </c>
      <c r="L168" s="108"/>
      <c r="M168" s="154">
        <f t="shared" si="6"/>
        <v>0</v>
      </c>
      <c r="N168" s="152"/>
      <c r="O168" s="154"/>
      <c r="P168" s="152"/>
      <c r="Q168" s="153"/>
      <c r="R168" s="152"/>
      <c r="S168" s="151"/>
      <c r="T168" s="151"/>
      <c r="U168" s="151"/>
      <c r="V168" s="151"/>
      <c r="W168" s="150"/>
      <c r="X168" s="151"/>
      <c r="Y168" s="154"/>
      <c r="Z168" s="154"/>
      <c r="AA168" s="154"/>
      <c r="AB168" s="154"/>
      <c r="AC168" s="154"/>
      <c r="AD168" s="154"/>
      <c r="AF168" s="151"/>
      <c r="AG168" s="151"/>
      <c r="AH168" s="153"/>
      <c r="AI168" s="43">
        <f t="shared" si="7"/>
        <v>0</v>
      </c>
      <c r="AK168" s="43">
        <f t="shared" si="8"/>
        <v>0</v>
      </c>
      <c r="AL168" s="43">
        <f t="shared" si="9"/>
        <v>0</v>
      </c>
      <c r="AT168"/>
    </row>
    <row r="169" spans="1:46" x14ac:dyDescent="0.25">
      <c r="A169" s="143" t="s">
        <v>492</v>
      </c>
      <c r="B169" s="43">
        <f>'General Fund'!M64-'General Fund'!M56-'General Fund'!M58-'General Fund'!M59-'General Fund'!M61-'General Fund'!M63</f>
        <v>185143.06000000192</v>
      </c>
      <c r="C169" s="108">
        <v>12028</v>
      </c>
      <c r="D169" s="43">
        <f t="shared" si="3"/>
        <v>197171.06000000192</v>
      </c>
      <c r="E169" s="43">
        <f>'ALL GOVERNMENT FUNDS'!C71-'ALL GOVERNMENT FUNDS'!C63-'ALL GOVERNMENT FUNDS'!C65-'ALL GOVERNMENT FUNDS'!C66-'ALL GOVERNMENT FUNDS'!C68-'ALL GOVERNMENT FUNDS'!C70</f>
        <v>0</v>
      </c>
      <c r="F169" s="108"/>
      <c r="G169" s="43">
        <f t="shared" si="4"/>
        <v>0</v>
      </c>
      <c r="H169" s="43">
        <f>'ALL GOVERNMENT FUNDS'!D71-'ALL GOVERNMENT FUNDS'!D65-'ALL GOVERNMENT FUNDS'!D66-'ALL GOVERNMENT FUNDS'!D68-'ALL GOVERNMENT FUNDS'!D70</f>
        <v>234988.94999999733</v>
      </c>
      <c r="I169" s="108"/>
      <c r="J169" s="154">
        <f t="shared" si="5"/>
        <v>234988.94999999733</v>
      </c>
      <c r="K169" s="43">
        <f>'ALL GOVERNMENT FUNDS'!E71-'ALL GOVERNMENT FUNDS'!E65-'ALL GOVERNMENT FUNDS'!E66-'ALL GOVERNMENT FUNDS'!E68-'ALL GOVERNMENT FUNDS'!E70</f>
        <v>6.9849193096160889E-10</v>
      </c>
      <c r="L169" s="108"/>
      <c r="M169" s="154">
        <f t="shared" si="6"/>
        <v>6.9849193096160889E-10</v>
      </c>
      <c r="N169" s="152">
        <f>'Other Government'!B53</f>
        <v>0</v>
      </c>
      <c r="O169" s="154">
        <f>'Other Government'!C53</f>
        <v>0</v>
      </c>
      <c r="P169" s="152">
        <f>'Other Government'!C53</f>
        <v>0</v>
      </c>
      <c r="Q169" s="153">
        <f>'Other Government'!E53</f>
        <v>0</v>
      </c>
      <c r="R169" s="152">
        <f>'Other Government'!F53</f>
        <v>0</v>
      </c>
      <c r="S169" s="151">
        <f>'Other Government'!G53</f>
        <v>0</v>
      </c>
      <c r="T169" s="151">
        <f>'Other Government'!K53</f>
        <v>0</v>
      </c>
      <c r="U169" s="151">
        <f>'Other Government'!L53</f>
        <v>0</v>
      </c>
      <c r="V169" s="151">
        <f>'Other Government'!M53</f>
        <v>0</v>
      </c>
      <c r="W169" s="150">
        <f>'Other Government'!N53</f>
        <v>0</v>
      </c>
      <c r="X169" s="151">
        <f>'Other Government'!Q53</f>
        <v>0</v>
      </c>
      <c r="Y169" s="154">
        <f>'Other Government'!R53</f>
        <v>0</v>
      </c>
      <c r="Z169" s="154">
        <f>'Other Government'!W53</f>
        <v>0</v>
      </c>
      <c r="AA169" s="154">
        <f>'Other Government'!X53</f>
        <v>0</v>
      </c>
      <c r="AB169" s="154">
        <f>'Other Government'!Y53</f>
        <v>0</v>
      </c>
      <c r="AC169" s="154">
        <f>'Other Government'!Z53</f>
        <v>0</v>
      </c>
      <c r="AD169" s="154">
        <f>'Other Government'!AA53</f>
        <v>0</v>
      </c>
      <c r="AE169" s="43">
        <f>'Other Government'!AB53</f>
        <v>0</v>
      </c>
      <c r="AF169" s="151">
        <f>'Other Government'!AD53</f>
        <v>0</v>
      </c>
      <c r="AG169" s="151">
        <f>'Other Government'!AG53</f>
        <v>0</v>
      </c>
      <c r="AH169" s="153">
        <f>'Other Government'!AH53</f>
        <v>0</v>
      </c>
      <c r="AI169" s="43">
        <f t="shared" si="7"/>
        <v>0</v>
      </c>
      <c r="AK169" s="43">
        <f t="shared" si="8"/>
        <v>0</v>
      </c>
      <c r="AL169" s="43">
        <f t="shared" si="9"/>
        <v>432160.00999999995</v>
      </c>
      <c r="AT169"/>
    </row>
    <row r="170" spans="1:46" x14ac:dyDescent="0.25">
      <c r="A170" s="66" t="s">
        <v>24</v>
      </c>
      <c r="B170" s="43">
        <f>'General Fund'!M63</f>
        <v>135564.32</v>
      </c>
      <c r="C170" s="108"/>
      <c r="D170" s="43">
        <f t="shared" si="3"/>
        <v>135564.32</v>
      </c>
      <c r="E170" s="43">
        <f>'ALL GOVERNMENT FUNDS'!C70</f>
        <v>0</v>
      </c>
      <c r="F170" s="108"/>
      <c r="G170" s="43">
        <f t="shared" si="4"/>
        <v>0</v>
      </c>
      <c r="H170" s="43">
        <f>'ALL GOVERNMENT FUNDS'!D70</f>
        <v>314353.3</v>
      </c>
      <c r="I170" s="108">
        <v>-247508</v>
      </c>
      <c r="J170" s="154">
        <f t="shared" si="5"/>
        <v>66845.299999999988</v>
      </c>
      <c r="K170" s="43">
        <f>'ALL GOVERNMENT FUNDS'!E70</f>
        <v>0</v>
      </c>
      <c r="L170" s="108"/>
      <c r="M170" s="154">
        <f t="shared" si="6"/>
        <v>0</v>
      </c>
      <c r="N170" s="152">
        <f>'Other Government'!B55</f>
        <v>0</v>
      </c>
      <c r="O170" s="154">
        <f>'Other Government'!C55</f>
        <v>0</v>
      </c>
      <c r="P170" s="152">
        <f>'Other Government'!D55</f>
        <v>0</v>
      </c>
      <c r="Q170" s="153">
        <f>'Other Government'!E55</f>
        <v>0</v>
      </c>
      <c r="R170" s="152">
        <f>'Other Government'!F55</f>
        <v>0</v>
      </c>
      <c r="S170" s="151">
        <f>'Other Government'!G55</f>
        <v>0</v>
      </c>
      <c r="T170" s="151">
        <f>'Other Government'!K55</f>
        <v>0</v>
      </c>
      <c r="U170" s="151">
        <f>'Other Government'!L55</f>
        <v>0</v>
      </c>
      <c r="V170" s="151">
        <f>'Other Government'!M55</f>
        <v>0</v>
      </c>
      <c r="W170" s="150">
        <f>'Other Government'!N55</f>
        <v>0</v>
      </c>
      <c r="X170" s="151">
        <f>'Other Government'!Q55</f>
        <v>0</v>
      </c>
      <c r="Y170" s="154">
        <f>'Other Government'!R55</f>
        <v>0</v>
      </c>
      <c r="Z170" s="154">
        <f>'Other Government'!U55</f>
        <v>0</v>
      </c>
      <c r="AA170" s="154">
        <f>'Other Government'!X55</f>
        <v>0</v>
      </c>
      <c r="AB170" s="154">
        <f>'Other Government'!Y55</f>
        <v>0</v>
      </c>
      <c r="AC170" s="154">
        <f>'Other Government'!Z55</f>
        <v>8324.57</v>
      </c>
      <c r="AD170" s="154">
        <f>'Other Government'!AA55</f>
        <v>0</v>
      </c>
      <c r="AE170" s="43">
        <f>'Other Government'!AB55</f>
        <v>0</v>
      </c>
      <c r="AF170" s="151">
        <f>'Other Government'!AD55</f>
        <v>0</v>
      </c>
      <c r="AG170" s="151">
        <f>'Other Government'!AG55</f>
        <v>60</v>
      </c>
      <c r="AH170" s="153">
        <f>'Other Government'!AH55</f>
        <v>0</v>
      </c>
      <c r="AI170" s="43">
        <f t="shared" si="7"/>
        <v>8384.57</v>
      </c>
      <c r="AK170" s="43">
        <f t="shared" si="8"/>
        <v>8384.57</v>
      </c>
      <c r="AL170" s="43">
        <f t="shared" si="9"/>
        <v>210794.19</v>
      </c>
      <c r="AT170"/>
    </row>
    <row r="171" spans="1:46" x14ac:dyDescent="0.25">
      <c r="A171" s="66" t="s">
        <v>23</v>
      </c>
      <c r="B171" s="43">
        <f>'General Fund'!M61</f>
        <v>16536.66</v>
      </c>
      <c r="C171" s="108"/>
      <c r="D171" s="43">
        <f t="shared" si="3"/>
        <v>16536.66</v>
      </c>
      <c r="E171" s="43">
        <f>'ALL GOVERNMENT FUNDS'!C68</f>
        <v>570.84</v>
      </c>
      <c r="F171" s="108"/>
      <c r="G171" s="43">
        <f t="shared" si="4"/>
        <v>570.84</v>
      </c>
      <c r="H171" s="43">
        <f>'ALL GOVERNMENT FUNDS'!D68</f>
        <v>6461.85</v>
      </c>
      <c r="I171" s="108"/>
      <c r="J171" s="154">
        <f t="shared" si="5"/>
        <v>6461.85</v>
      </c>
      <c r="K171" s="43">
        <f>'ALL GOVERNMENT FUNDS'!E68</f>
        <v>0</v>
      </c>
      <c r="L171" s="108"/>
      <c r="M171" s="154">
        <f t="shared" si="6"/>
        <v>0</v>
      </c>
      <c r="N171" s="152">
        <f>'Other Government'!B54</f>
        <v>2952.16</v>
      </c>
      <c r="O171" s="154">
        <f>'Other Government'!C54</f>
        <v>23.39</v>
      </c>
      <c r="P171" s="152">
        <f>'Other Government'!D54</f>
        <v>279.93</v>
      </c>
      <c r="Q171" s="153">
        <f>'Other Government'!E54</f>
        <v>203.52</v>
      </c>
      <c r="R171" s="152">
        <f>'Other Government'!F54</f>
        <v>802.79</v>
      </c>
      <c r="S171" s="151">
        <f>'Other Government'!G54</f>
        <v>76.650000000000006</v>
      </c>
      <c r="T171" s="151">
        <f>'Other Government'!K54</f>
        <v>714.93</v>
      </c>
      <c r="U171" s="151">
        <f>'Other Government'!L54</f>
        <v>1064.6400000000001</v>
      </c>
      <c r="V171" s="151">
        <f>'Other Government'!M54</f>
        <v>20.149999999999999</v>
      </c>
      <c r="W171" s="150">
        <f>'Other Government'!N54</f>
        <v>74.069999999999993</v>
      </c>
      <c r="X171" s="151">
        <f>'Other Government'!Q54</f>
        <v>56.49</v>
      </c>
      <c r="Y171" s="154">
        <f>'Other Government'!R54</f>
        <v>21.16</v>
      </c>
      <c r="Z171" s="154">
        <f>'Other Government'!U54</f>
        <v>0</v>
      </c>
      <c r="AA171" s="154">
        <f>'Other Government'!X54</f>
        <v>0</v>
      </c>
      <c r="AB171" s="154">
        <f>'Other Government'!Y54</f>
        <v>0</v>
      </c>
      <c r="AC171" s="154">
        <f>'Other Government'!Z54</f>
        <v>1646.4799999999998</v>
      </c>
      <c r="AD171" s="154">
        <f>'Other Government'!AA54</f>
        <v>0</v>
      </c>
      <c r="AE171" s="43">
        <f>'Other Government'!AB54</f>
        <v>12059.519999999999</v>
      </c>
      <c r="AF171" s="151">
        <f>'Other Government'!AD54</f>
        <v>25.58</v>
      </c>
      <c r="AG171" s="151">
        <f>'Other Government'!AG54</f>
        <v>1669.11</v>
      </c>
      <c r="AH171" s="153">
        <f>'Other Government'!AH54</f>
        <v>4287.95</v>
      </c>
      <c r="AI171" s="43">
        <f t="shared" si="7"/>
        <v>25978.52</v>
      </c>
      <c r="AK171" s="43">
        <f t="shared" si="8"/>
        <v>25978.52</v>
      </c>
      <c r="AL171" s="43">
        <f t="shared" si="9"/>
        <v>49547.869999999995</v>
      </c>
      <c r="AT171"/>
    </row>
    <row r="172" spans="1:46" x14ac:dyDescent="0.25">
      <c r="A172" s="66" t="s">
        <v>476</v>
      </c>
      <c r="B172" s="43">
        <f>'General Fund'!M56</f>
        <v>11755541.029999999</v>
      </c>
      <c r="C172" s="108">
        <v>57203</v>
      </c>
      <c r="D172" s="43">
        <f t="shared" si="3"/>
        <v>11812744.029999999</v>
      </c>
      <c r="F172" s="108"/>
      <c r="G172" s="43">
        <f t="shared" si="4"/>
        <v>0</v>
      </c>
      <c r="H172" s="43"/>
      <c r="I172" s="108"/>
      <c r="J172" s="154">
        <f t="shared" si="5"/>
        <v>0</v>
      </c>
      <c r="L172" s="108"/>
      <c r="M172" s="154">
        <f t="shared" si="6"/>
        <v>0</v>
      </c>
      <c r="N172" s="152"/>
      <c r="O172" s="154"/>
      <c r="P172" s="152"/>
      <c r="Q172" s="153"/>
      <c r="R172" s="152"/>
      <c r="S172" s="151"/>
      <c r="T172" s="151"/>
      <c r="U172" s="151"/>
      <c r="V172" s="151"/>
      <c r="W172" s="150"/>
      <c r="X172" s="151"/>
      <c r="Y172" s="154"/>
      <c r="Z172" s="154"/>
      <c r="AA172" s="154"/>
      <c r="AB172" s="154"/>
      <c r="AC172" s="154"/>
      <c r="AD172" s="154"/>
      <c r="AF172" s="151"/>
      <c r="AG172" s="151"/>
      <c r="AH172" s="153"/>
      <c r="AI172" s="43">
        <f t="shared" si="7"/>
        <v>0</v>
      </c>
      <c r="AK172" s="43">
        <f t="shared" si="8"/>
        <v>0</v>
      </c>
      <c r="AL172" s="43">
        <f t="shared" si="9"/>
        <v>11812744.029999999</v>
      </c>
      <c r="AT172"/>
    </row>
    <row r="173" spans="1:46" x14ac:dyDescent="0.25">
      <c r="A173" s="66" t="s">
        <v>477</v>
      </c>
      <c r="B173" s="43">
        <f>'General Fund'!M62</f>
        <v>0</v>
      </c>
      <c r="C173" s="108"/>
      <c r="D173" s="43">
        <f t="shared" si="3"/>
        <v>0</v>
      </c>
      <c r="F173" s="108"/>
      <c r="G173" s="43">
        <f t="shared" si="4"/>
        <v>0</v>
      </c>
      <c r="H173" s="43"/>
      <c r="I173" s="108"/>
      <c r="J173" s="154">
        <f t="shared" si="5"/>
        <v>0</v>
      </c>
      <c r="L173" s="108"/>
      <c r="M173" s="154">
        <f t="shared" si="6"/>
        <v>0</v>
      </c>
      <c r="N173" s="152"/>
      <c r="O173" s="154"/>
      <c r="P173" s="152"/>
      <c r="Q173" s="153"/>
      <c r="R173" s="152"/>
      <c r="S173" s="151"/>
      <c r="T173" s="151"/>
      <c r="U173" s="151"/>
      <c r="V173" s="151"/>
      <c r="W173" s="150"/>
      <c r="X173" s="151"/>
      <c r="Y173" s="154"/>
      <c r="Z173" s="154"/>
      <c r="AA173" s="154"/>
      <c r="AB173" s="154"/>
      <c r="AC173" s="154"/>
      <c r="AD173" s="154"/>
      <c r="AF173" s="151"/>
      <c r="AG173" s="151"/>
      <c r="AH173" s="153"/>
      <c r="AI173" s="43">
        <f t="shared" si="7"/>
        <v>0</v>
      </c>
      <c r="AK173" s="43">
        <f t="shared" si="8"/>
        <v>0</v>
      </c>
      <c r="AL173" s="43">
        <f t="shared" si="9"/>
        <v>0</v>
      </c>
      <c r="AT173"/>
    </row>
    <row r="174" spans="1:46" x14ac:dyDescent="0.25">
      <c r="D174" s="43">
        <f t="shared" si="3"/>
        <v>0</v>
      </c>
      <c r="G174" s="43">
        <f t="shared" si="4"/>
        <v>0</v>
      </c>
      <c r="H174" s="43"/>
      <c r="I174" s="43"/>
      <c r="J174" s="117">
        <f t="shared" si="5"/>
        <v>0</v>
      </c>
      <c r="M174" s="43">
        <f t="shared" si="6"/>
        <v>0</v>
      </c>
      <c r="AF174" s="117"/>
      <c r="AG174" s="117"/>
      <c r="AI174" s="43">
        <f t="shared" si="7"/>
        <v>0</v>
      </c>
      <c r="AK174" s="43">
        <f t="shared" si="8"/>
        <v>0</v>
      </c>
      <c r="AL174" s="43">
        <f t="shared" si="9"/>
        <v>0</v>
      </c>
      <c r="AT174"/>
    </row>
    <row r="175" spans="1:46" x14ac:dyDescent="0.25">
      <c r="G175" s="43">
        <f t="shared" si="4"/>
        <v>0</v>
      </c>
      <c r="H175" s="43"/>
      <c r="I175" s="43"/>
      <c r="J175" s="43">
        <f t="shared" si="5"/>
        <v>0</v>
      </c>
      <c r="M175" s="43">
        <f t="shared" si="6"/>
        <v>0</v>
      </c>
      <c r="AI175" s="43">
        <f t="shared" si="7"/>
        <v>0</v>
      </c>
      <c r="AK175" s="43">
        <f t="shared" si="8"/>
        <v>0</v>
      </c>
      <c r="AL175" s="43">
        <f t="shared" si="9"/>
        <v>0</v>
      </c>
      <c r="AT175"/>
    </row>
    <row r="176" spans="1:46" ht="15.75" thickBot="1" x14ac:dyDescent="0.3">
      <c r="A176" s="66" t="s">
        <v>25</v>
      </c>
      <c r="B176" s="142">
        <f>SUM(B166:B175)</f>
        <v>16143729.040000001</v>
      </c>
      <c r="C176" s="142">
        <f t="shared" ref="C176:AL176" si="10">SUM(C166:C175)</f>
        <v>69231</v>
      </c>
      <c r="D176" s="142">
        <f t="shared" si="10"/>
        <v>16212960.040000001</v>
      </c>
      <c r="E176" s="142">
        <f t="shared" si="10"/>
        <v>570.84</v>
      </c>
      <c r="F176" s="142">
        <f t="shared" si="10"/>
        <v>0</v>
      </c>
      <c r="G176" s="142">
        <f t="shared" si="10"/>
        <v>570.84</v>
      </c>
      <c r="H176" s="142">
        <f t="shared" si="10"/>
        <v>17708405.09</v>
      </c>
      <c r="I176" s="142">
        <f t="shared" si="10"/>
        <v>0</v>
      </c>
      <c r="J176" s="142">
        <f t="shared" si="10"/>
        <v>17708405.09</v>
      </c>
      <c r="K176" s="142">
        <f t="shared" si="10"/>
        <v>10054697.74</v>
      </c>
      <c r="L176" s="142">
        <f t="shared" si="10"/>
        <v>0</v>
      </c>
      <c r="M176" s="142">
        <f t="shared" si="10"/>
        <v>10054697.74</v>
      </c>
      <c r="N176" s="142">
        <f t="shared" si="10"/>
        <v>579163.05000000005</v>
      </c>
      <c r="O176" s="142">
        <f t="shared" si="10"/>
        <v>38639.08</v>
      </c>
      <c r="P176" s="142">
        <f t="shared" si="10"/>
        <v>709448.70000000007</v>
      </c>
      <c r="Q176" s="142">
        <f t="shared" si="10"/>
        <v>28996.43</v>
      </c>
      <c r="R176" s="142">
        <f t="shared" si="10"/>
        <v>159312.18000000002</v>
      </c>
      <c r="S176" s="142">
        <f t="shared" si="10"/>
        <v>27496.65</v>
      </c>
      <c r="T176" s="142">
        <f t="shared" si="10"/>
        <v>56631.27</v>
      </c>
      <c r="U176" s="142">
        <f t="shared" si="10"/>
        <v>87819.25</v>
      </c>
      <c r="V176" s="142">
        <f t="shared" si="10"/>
        <v>745.18</v>
      </c>
      <c r="W176" s="142">
        <f t="shared" si="10"/>
        <v>11176.07</v>
      </c>
      <c r="X176" s="142">
        <f t="shared" si="10"/>
        <v>8108.58</v>
      </c>
      <c r="Y176" s="142">
        <f t="shared" si="10"/>
        <v>441239.68</v>
      </c>
      <c r="Z176" s="142">
        <f t="shared" si="10"/>
        <v>337560</v>
      </c>
      <c r="AA176" s="142">
        <f t="shared" si="10"/>
        <v>158732.95000000001</v>
      </c>
      <c r="AB176" s="142">
        <f t="shared" si="10"/>
        <v>21770.37</v>
      </c>
      <c r="AC176" s="142">
        <f t="shared" si="10"/>
        <v>824591.80999999994</v>
      </c>
      <c r="AD176" s="142">
        <f t="shared" si="10"/>
        <v>1325753.23</v>
      </c>
      <c r="AE176" s="142">
        <f t="shared" si="10"/>
        <v>12059.519999999999</v>
      </c>
      <c r="AF176" s="142">
        <f t="shared" si="10"/>
        <v>475.58</v>
      </c>
      <c r="AG176" s="142">
        <f t="shared" si="10"/>
        <v>461979.07999999996</v>
      </c>
      <c r="AH176" s="142">
        <f t="shared" si="10"/>
        <v>2726618.79</v>
      </c>
      <c r="AI176" s="142">
        <f t="shared" si="10"/>
        <v>8018317.4500000002</v>
      </c>
      <c r="AJ176" s="142">
        <f>SUM(AJ166:AJ175)</f>
        <v>0</v>
      </c>
      <c r="AK176" s="142">
        <f>SUM(AK166:AK175)</f>
        <v>8018317.4500000002</v>
      </c>
      <c r="AL176" s="142">
        <f t="shared" si="10"/>
        <v>51994951.159999996</v>
      </c>
      <c r="AT176"/>
    </row>
    <row r="177" spans="1:46" ht="15.75" thickTop="1" x14ac:dyDescent="0.25">
      <c r="A177" s="149"/>
      <c r="G177" s="43"/>
      <c r="H177" s="43"/>
      <c r="I177" s="43"/>
      <c r="AT177"/>
    </row>
    <row r="178" spans="1:46" x14ac:dyDescent="0.25">
      <c r="A178" s="149"/>
      <c r="G178" s="43"/>
      <c r="H178" s="43"/>
      <c r="I178" s="43"/>
      <c r="AT178"/>
    </row>
    <row r="179" spans="1:46" x14ac:dyDescent="0.25">
      <c r="A179" s="149"/>
      <c r="D179" s="150"/>
      <c r="E179" s="43" t="s">
        <v>486</v>
      </c>
      <c r="G179" s="43"/>
      <c r="H179" s="43"/>
      <c r="I179" s="43"/>
      <c r="N179" s="150"/>
      <c r="O179" s="43" t="s">
        <v>486</v>
      </c>
      <c r="W179" s="150"/>
      <c r="X179" s="43" t="s">
        <v>486</v>
      </c>
      <c r="AH179" s="150"/>
      <c r="AI179" s="43" t="s">
        <v>486</v>
      </c>
      <c r="AT179"/>
    </row>
    <row r="180" spans="1:46" x14ac:dyDescent="0.25">
      <c r="D180" s="151"/>
      <c r="E180" s="43" t="s">
        <v>28</v>
      </c>
      <c r="G180" s="43"/>
      <c r="H180" s="43"/>
      <c r="I180" s="43"/>
      <c r="N180" s="151"/>
      <c r="O180" s="43" t="s">
        <v>28</v>
      </c>
      <c r="W180" s="151"/>
      <c r="X180" s="43" t="s">
        <v>28</v>
      </c>
      <c r="AH180" s="151"/>
      <c r="AI180" s="43" t="s">
        <v>28</v>
      </c>
      <c r="AT180"/>
    </row>
    <row r="181" spans="1:46" x14ac:dyDescent="0.25">
      <c r="D181" s="153"/>
      <c r="E181" s="43" t="s">
        <v>29</v>
      </c>
      <c r="G181" s="43"/>
      <c r="H181" s="43"/>
      <c r="I181" s="43"/>
      <c r="N181" s="153"/>
      <c r="O181" s="43" t="s">
        <v>29</v>
      </c>
      <c r="W181" s="153"/>
      <c r="X181" s="43" t="s">
        <v>29</v>
      </c>
      <c r="AH181" s="153"/>
      <c r="AI181" s="43" t="s">
        <v>29</v>
      </c>
      <c r="AT181"/>
    </row>
    <row r="182" spans="1:46" x14ac:dyDescent="0.25">
      <c r="D182" s="152"/>
      <c r="E182" s="43" t="s">
        <v>451</v>
      </c>
      <c r="G182" s="43"/>
      <c r="H182" s="43"/>
      <c r="I182" s="43"/>
      <c r="N182" s="152"/>
      <c r="O182" s="43" t="s">
        <v>451</v>
      </c>
      <c r="W182" s="152"/>
      <c r="X182" s="43" t="s">
        <v>451</v>
      </c>
      <c r="AH182" s="152"/>
      <c r="AI182" s="43" t="s">
        <v>451</v>
      </c>
      <c r="AT182"/>
    </row>
    <row r="183" spans="1:46" x14ac:dyDescent="0.25">
      <c r="D183" s="154"/>
      <c r="E183" s="43" t="s">
        <v>162</v>
      </c>
      <c r="G183" s="43"/>
      <c r="H183" s="43"/>
      <c r="I183" s="43"/>
      <c r="N183" s="154"/>
      <c r="O183" s="43" t="s">
        <v>162</v>
      </c>
      <c r="W183" s="154"/>
      <c r="X183" s="43" t="s">
        <v>162</v>
      </c>
      <c r="AH183" s="154"/>
      <c r="AI183" s="43" t="s">
        <v>162</v>
      </c>
      <c r="AT183"/>
    </row>
    <row r="184" spans="1:46" x14ac:dyDescent="0.25">
      <c r="D184" s="155"/>
      <c r="E184" s="43" t="s">
        <v>63</v>
      </c>
      <c r="G184" s="43"/>
      <c r="H184" s="43"/>
      <c r="I184" s="43"/>
      <c r="N184" s="155"/>
      <c r="O184" s="43" t="s">
        <v>63</v>
      </c>
      <c r="W184" s="155"/>
      <c r="X184" s="43" t="s">
        <v>63</v>
      </c>
      <c r="AH184" s="155"/>
      <c r="AI184" s="43" t="s">
        <v>63</v>
      </c>
      <c r="AT184"/>
    </row>
    <row r="185" spans="1:46" x14ac:dyDescent="0.25">
      <c r="D185" s="156"/>
      <c r="E185" s="43" t="s">
        <v>452</v>
      </c>
      <c r="G185" s="43"/>
      <c r="H185" s="43"/>
      <c r="I185" s="43"/>
      <c r="N185" s="156"/>
      <c r="O185" s="43" t="s">
        <v>452</v>
      </c>
      <c r="W185" s="156"/>
      <c r="X185" s="43" t="s">
        <v>452</v>
      </c>
      <c r="AH185" s="156"/>
      <c r="AI185" s="43" t="s">
        <v>452</v>
      </c>
      <c r="AT185"/>
    </row>
    <row r="186" spans="1:46" x14ac:dyDescent="0.25">
      <c r="G186" s="43"/>
      <c r="H186" s="43"/>
      <c r="I186" s="43"/>
      <c r="AT186"/>
    </row>
    <row r="187" spans="1:46" x14ac:dyDescent="0.25">
      <c r="A187" s="43"/>
      <c r="B187"/>
      <c r="G187" s="43"/>
      <c r="H187" s="43"/>
      <c r="I187" s="43"/>
      <c r="AT187"/>
    </row>
    <row r="188" spans="1:46" x14ac:dyDescent="0.25">
      <c r="A188" s="43"/>
      <c r="B188"/>
      <c r="G188" s="43"/>
      <c r="H188" s="43"/>
      <c r="I188" s="43"/>
      <c r="AT188"/>
    </row>
    <row r="189" spans="1:46" x14ac:dyDescent="0.25">
      <c r="A189" s="43"/>
      <c r="B189"/>
      <c r="G189" s="43"/>
      <c r="H189" s="43"/>
      <c r="I189" s="43"/>
      <c r="AT189"/>
    </row>
    <row r="190" spans="1:46" x14ac:dyDescent="0.25">
      <c r="A190" s="43"/>
      <c r="F190"/>
      <c r="I190" s="43"/>
      <c r="AT190"/>
    </row>
    <row r="191" spans="1:46" x14ac:dyDescent="0.25">
      <c r="A191" s="43"/>
      <c r="F191"/>
      <c r="I191" s="43"/>
      <c r="AT191"/>
    </row>
    <row r="192" spans="1:46" x14ac:dyDescent="0.25">
      <c r="A192" s="43"/>
      <c r="F192"/>
      <c r="I192" s="43"/>
      <c r="AT192"/>
    </row>
    <row r="193" spans="1:46" x14ac:dyDescent="0.25">
      <c r="A193" s="43"/>
      <c r="F193"/>
      <c r="I193" s="43"/>
      <c r="AT193"/>
    </row>
    <row r="194" spans="1:46" x14ac:dyDescent="0.25">
      <c r="A194" s="43"/>
      <c r="F194"/>
      <c r="I194" s="43"/>
      <c r="AT194"/>
    </row>
    <row r="195" spans="1:46" x14ac:dyDescent="0.25">
      <c r="A195" s="43"/>
      <c r="F195"/>
      <c r="I195" s="43"/>
      <c r="AT195"/>
    </row>
    <row r="196" spans="1:46" x14ac:dyDescent="0.25">
      <c r="A196" s="43"/>
      <c r="F196"/>
      <c r="I196" s="43"/>
      <c r="AT196"/>
    </row>
    <row r="197" spans="1:46" x14ac:dyDescent="0.25">
      <c r="A197" s="43"/>
      <c r="F197"/>
      <c r="I197" s="43"/>
      <c r="AT197"/>
    </row>
  </sheetData>
  <customSheetViews>
    <customSheetView guid="{E68B3865-8D72-47E7-BE32-0FF7EB09E889}" topLeftCell="A10">
      <selection activeCell="F32" sqref="F32"/>
      <pageMargins left="0.25" right="0.25" top="0.75" bottom="0.75" header="0.3" footer="0.3"/>
      <pageSetup scale="45" fitToHeight="0" orientation="portrait" r:id="rId1"/>
    </customSheetView>
    <customSheetView guid="{DE6E911D-85BF-467A-AA00-1E84C5349CF7}" topLeftCell="A10">
      <selection activeCell="F32" sqref="F32"/>
      <pageMargins left="0.25" right="0.25" top="0.75" bottom="0.75" header="0.3" footer="0.3"/>
      <pageSetup scale="45" fitToHeight="0" orientation="portrait" r:id="rId2"/>
    </customSheetView>
  </customSheetViews>
  <pageMargins left="0.25" right="0.25" top="0.75" bottom="0.75" header="0.3" footer="0.3"/>
  <pageSetup scale="45" fitToHeight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09"/>
  <sheetViews>
    <sheetView workbookViewId="0">
      <pane xSplit="1" ySplit="5" topLeftCell="B53" activePane="bottomRight" state="frozen"/>
      <selection pane="topRight" activeCell="B1" sqref="B1"/>
      <selection pane="bottomLeft" activeCell="A6" sqref="A6"/>
      <selection pane="bottomRight" activeCell="M60" sqref="M60"/>
    </sheetView>
  </sheetViews>
  <sheetFormatPr defaultRowHeight="15" x14ac:dyDescent="0.25"/>
  <cols>
    <col min="1" max="1" width="43" customWidth="1"/>
    <col min="2" max="2" width="14.5703125" bestFit="1" customWidth="1"/>
    <col min="3" max="3" width="13.5703125" style="6" bestFit="1" customWidth="1"/>
    <col min="4" max="4" width="14.5703125" bestFit="1" customWidth="1"/>
    <col min="5" max="5" width="14.5703125" style="6" bestFit="1" customWidth="1"/>
    <col min="6" max="9" width="14.5703125" style="6" customWidth="1"/>
    <col min="10" max="10" width="11.140625" bestFit="1" customWidth="1"/>
    <col min="11" max="11" width="14.5703125" style="17" customWidth="1"/>
    <col min="12" max="12" width="14.5703125" style="6" customWidth="1"/>
    <col min="13" max="13" width="14.5703125" style="32" bestFit="1" customWidth="1"/>
    <col min="14" max="14" width="24.28515625" style="82" customWidth="1"/>
    <col min="15" max="15" width="13.85546875" bestFit="1" customWidth="1"/>
    <col min="16" max="16" width="12.7109375" bestFit="1" customWidth="1"/>
  </cols>
  <sheetData>
    <row r="1" spans="1:16" ht="23.25" x14ac:dyDescent="0.35">
      <c r="A1" s="5" t="s">
        <v>203</v>
      </c>
      <c r="B1" s="6"/>
      <c r="D1" s="6"/>
      <c r="M1" s="17"/>
    </row>
    <row r="2" spans="1:16" x14ac:dyDescent="0.25">
      <c r="A2" t="s">
        <v>1</v>
      </c>
      <c r="B2" s="6"/>
      <c r="D2" s="6"/>
      <c r="M2" s="17"/>
    </row>
    <row r="3" spans="1:16" x14ac:dyDescent="0.25">
      <c r="A3" s="1">
        <f>'ALL GOVERNMENT FUNDS'!A3</f>
        <v>43830</v>
      </c>
      <c r="B3" s="6"/>
      <c r="D3" s="6"/>
      <c r="M3" s="17"/>
    </row>
    <row r="4" spans="1:16" x14ac:dyDescent="0.25">
      <c r="A4" s="1"/>
      <c r="B4" s="6"/>
      <c r="D4" s="6"/>
      <c r="M4" s="17"/>
    </row>
    <row r="5" spans="1:16" ht="45" x14ac:dyDescent="0.25">
      <c r="A5" s="1"/>
      <c r="B5" s="7" t="s">
        <v>204</v>
      </c>
      <c r="C5" s="7" t="s">
        <v>47</v>
      </c>
      <c r="D5" s="7" t="s">
        <v>206</v>
      </c>
      <c r="E5" s="7" t="s">
        <v>205</v>
      </c>
      <c r="F5" s="7" t="s">
        <v>208</v>
      </c>
      <c r="G5" s="7" t="s">
        <v>209</v>
      </c>
      <c r="H5" s="7" t="s">
        <v>210</v>
      </c>
      <c r="I5" s="7" t="s">
        <v>211</v>
      </c>
      <c r="J5" s="7" t="s">
        <v>80</v>
      </c>
      <c r="K5" s="18" t="s">
        <v>296</v>
      </c>
      <c r="L5" s="7"/>
      <c r="M5" s="18" t="s">
        <v>207</v>
      </c>
      <c r="N5" s="103"/>
    </row>
    <row r="6" spans="1:16" x14ac:dyDescent="0.25">
      <c r="B6" s="6"/>
      <c r="D6" s="6"/>
      <c r="J6" s="6"/>
      <c r="M6" s="17"/>
    </row>
    <row r="7" spans="1:16" x14ac:dyDescent="0.25">
      <c r="A7" s="3" t="s">
        <v>2</v>
      </c>
      <c r="B7" s="6"/>
      <c r="D7" s="6"/>
      <c r="J7" s="6"/>
      <c r="M7" s="17"/>
    </row>
    <row r="8" spans="1:16" x14ac:dyDescent="0.25">
      <c r="A8" s="6" t="s">
        <v>3</v>
      </c>
      <c r="B8" s="20">
        <v>5826347.9100000001</v>
      </c>
      <c r="C8" s="20">
        <f>-72905.8-649596</f>
        <v>-722501.8</v>
      </c>
      <c r="D8" s="6">
        <f t="shared" ref="D8:D15" si="0">B8+C8</f>
        <v>5103846.1100000003</v>
      </c>
      <c r="E8" s="23">
        <v>1231100.05</v>
      </c>
      <c r="F8" s="23">
        <v>36565.61</v>
      </c>
      <c r="G8" s="180">
        <v>36120.480000000003</v>
      </c>
      <c r="H8" s="23">
        <v>52072.26</v>
      </c>
      <c r="I8" s="23">
        <v>5752.98</v>
      </c>
      <c r="J8" s="23">
        <v>382156.84</v>
      </c>
      <c r="K8" s="23">
        <v>1316.91</v>
      </c>
      <c r="L8" s="39"/>
      <c r="M8" s="17">
        <f>D8+E8+F8+G8+H8+I8+J8+K8+L8</f>
        <v>6848931.2400000012</v>
      </c>
      <c r="N8" s="102"/>
      <c r="P8" s="6"/>
    </row>
    <row r="9" spans="1:16" x14ac:dyDescent="0.25">
      <c r="A9" s="4" t="s">
        <v>4</v>
      </c>
      <c r="B9" s="20">
        <v>396983.38</v>
      </c>
      <c r="C9" s="20"/>
      <c r="D9" s="6">
        <f t="shared" si="0"/>
        <v>396983.38</v>
      </c>
      <c r="E9" s="23"/>
      <c r="F9" s="23"/>
      <c r="G9" s="23"/>
      <c r="H9" s="23"/>
      <c r="I9" s="23"/>
      <c r="J9" s="23"/>
      <c r="K9" s="23">
        <v>2193.5100000000002</v>
      </c>
      <c r="L9" s="39"/>
      <c r="M9" s="17">
        <f>D9+E9+F9+G9+H9+I9+J9+K9+L9</f>
        <v>399176.89</v>
      </c>
      <c r="N9" s="102"/>
      <c r="P9" s="6"/>
    </row>
    <row r="10" spans="1:16" x14ac:dyDescent="0.25">
      <c r="A10" s="4" t="s">
        <v>232</v>
      </c>
      <c r="B10" s="20">
        <f>403980.44+1587289-397827</f>
        <v>1593442.44</v>
      </c>
      <c r="C10" s="20"/>
      <c r="D10" s="6">
        <f t="shared" si="0"/>
        <v>1593442.44</v>
      </c>
      <c r="E10" s="23"/>
      <c r="F10" s="23">
        <v>-36565.61</v>
      </c>
      <c r="G10" s="23">
        <v>-36120.480000000003</v>
      </c>
      <c r="H10" s="23">
        <v>-52072.26</v>
      </c>
      <c r="I10" s="23">
        <v>-5752.98</v>
      </c>
      <c r="J10" s="23"/>
      <c r="K10" s="23"/>
      <c r="L10" s="39"/>
      <c r="M10" s="17">
        <f>D10+E10+F10+G10+H10+I10+J10+K10+L10</f>
        <v>1462931.1099999999</v>
      </c>
      <c r="N10" s="102"/>
    </row>
    <row r="11" spans="1:16" x14ac:dyDescent="0.25">
      <c r="A11" s="4" t="s">
        <v>406</v>
      </c>
      <c r="B11" s="20"/>
      <c r="C11" s="20">
        <f>11375+283321+649596</f>
        <v>944292</v>
      </c>
      <c r="D11" s="6">
        <f t="shared" si="0"/>
        <v>944292</v>
      </c>
      <c r="E11" s="23"/>
      <c r="F11" s="23"/>
      <c r="G11" s="23"/>
      <c r="H11" s="23"/>
      <c r="I11" s="23"/>
      <c r="J11" s="23"/>
      <c r="K11" s="23"/>
      <c r="L11" s="39"/>
      <c r="M11" s="17">
        <f>D11+E11+F11+G11+H11+I11+J11+K11+L11</f>
        <v>944292</v>
      </c>
      <c r="N11" s="102"/>
    </row>
    <row r="12" spans="1:16" x14ac:dyDescent="0.25">
      <c r="A12" s="4" t="s">
        <v>6</v>
      </c>
      <c r="B12" s="20">
        <v>639417.80000000005</v>
      </c>
      <c r="C12" s="20">
        <v>12028</v>
      </c>
      <c r="D12" s="6">
        <f t="shared" si="0"/>
        <v>651445.80000000005</v>
      </c>
      <c r="E12" s="23"/>
      <c r="F12" s="23"/>
      <c r="G12" s="23"/>
      <c r="H12" s="23"/>
      <c r="I12" s="23"/>
      <c r="J12" s="23"/>
      <c r="K12" s="23"/>
      <c r="L12" s="39"/>
      <c r="M12" s="17">
        <f>D12+E12+F12+G12+H12+I12+J12+K13+L12</f>
        <v>651445.80000000005</v>
      </c>
      <c r="N12" s="102"/>
    </row>
    <row r="13" spans="1:16" x14ac:dyDescent="0.25">
      <c r="A13" s="4" t="s">
        <v>5</v>
      </c>
      <c r="B13" s="20">
        <v>78239.87</v>
      </c>
      <c r="C13" s="20"/>
      <c r="D13" s="6">
        <f t="shared" si="0"/>
        <v>78239.87</v>
      </c>
      <c r="E13" s="23"/>
      <c r="F13" s="23"/>
      <c r="G13" s="23"/>
      <c r="H13" s="23"/>
      <c r="I13" s="23"/>
      <c r="J13" s="23"/>
      <c r="K13" s="23"/>
      <c r="L13" s="39"/>
      <c r="M13" s="17">
        <f>D13+E13+F13+G13+H13+I13+J13+K14+L13</f>
        <v>78239.87</v>
      </c>
      <c r="N13" s="102"/>
    </row>
    <row r="14" spans="1:16" x14ac:dyDescent="0.25">
      <c r="A14" s="4" t="s">
        <v>61</v>
      </c>
      <c r="B14" s="20"/>
      <c r="C14" s="20"/>
      <c r="D14" s="6">
        <f t="shared" si="0"/>
        <v>0</v>
      </c>
      <c r="E14" s="23"/>
      <c r="F14" s="23"/>
      <c r="G14" s="23"/>
      <c r="H14" s="23"/>
      <c r="I14" s="23"/>
      <c r="J14" s="23"/>
      <c r="K14" s="23"/>
      <c r="L14" s="39"/>
      <c r="M14" s="17">
        <f>D14+E14+F14+G14+H14+I14+J14+K14+L14</f>
        <v>0</v>
      </c>
      <c r="N14" s="102"/>
    </row>
    <row r="15" spans="1:16" x14ac:dyDescent="0.25">
      <c r="A15" s="2" t="s">
        <v>7</v>
      </c>
      <c r="B15" s="6">
        <f>SUM(B8:B14)</f>
        <v>8534431.4000000004</v>
      </c>
      <c r="C15" s="6">
        <f>SUM(C8:C14)</f>
        <v>233818.19999999995</v>
      </c>
      <c r="D15" s="6">
        <f t="shared" si="0"/>
        <v>8768249.5999999996</v>
      </c>
      <c r="E15" s="6">
        <f t="shared" ref="E15:J15" si="1">SUM(E8:E14)</f>
        <v>1231100.05</v>
      </c>
      <c r="F15" s="6">
        <f t="shared" si="1"/>
        <v>0</v>
      </c>
      <c r="G15" s="6">
        <f t="shared" si="1"/>
        <v>0</v>
      </c>
      <c r="H15" s="6">
        <f t="shared" si="1"/>
        <v>0</v>
      </c>
      <c r="I15" s="6">
        <f t="shared" si="1"/>
        <v>0</v>
      </c>
      <c r="J15" s="6">
        <f t="shared" si="1"/>
        <v>382156.84</v>
      </c>
      <c r="K15" s="17">
        <f>SUM(K8:K14)</f>
        <v>3510.42</v>
      </c>
      <c r="M15" s="17">
        <f>D15+E15+F15+G15+H15+I15+J15+K15+L15</f>
        <v>10385016.91</v>
      </c>
      <c r="N15" s="105">
        <f>SUM(M8:M14)</f>
        <v>10385016.91</v>
      </c>
      <c r="O15" s="6"/>
    </row>
    <row r="16" spans="1:16" x14ac:dyDescent="0.25">
      <c r="B16" s="6"/>
      <c r="D16" s="6"/>
      <c r="J16" s="6"/>
      <c r="M16" s="17"/>
      <c r="N16" s="102"/>
    </row>
    <row r="17" spans="1:16" x14ac:dyDescent="0.25">
      <c r="A17" s="3" t="s">
        <v>8</v>
      </c>
      <c r="B17" s="6"/>
      <c r="D17" s="6"/>
      <c r="J17" s="6"/>
      <c r="M17" s="17"/>
      <c r="N17" s="102"/>
    </row>
    <row r="18" spans="1:16" x14ac:dyDescent="0.25">
      <c r="A18" s="4" t="s">
        <v>9</v>
      </c>
      <c r="B18" s="20">
        <v>733322.75</v>
      </c>
      <c r="C18" s="20">
        <v>66854.37</v>
      </c>
      <c r="D18" s="6">
        <f t="shared" ref="D18:D23" si="2">B18+C18</f>
        <v>800177.12</v>
      </c>
      <c r="E18" s="20"/>
      <c r="F18" s="20"/>
      <c r="G18" s="20"/>
      <c r="H18" s="20"/>
      <c r="I18" s="20"/>
      <c r="J18" s="20">
        <v>358870.85</v>
      </c>
      <c r="K18" s="20"/>
      <c r="L18" s="39"/>
      <c r="M18" s="17">
        <f t="shared" ref="M18:M23" si="3">D18+E18+F18+G18+H18+I18+J18+K18+L18</f>
        <v>1159047.97</v>
      </c>
      <c r="N18" s="102"/>
      <c r="O18">
        <v>1158692</v>
      </c>
      <c r="P18" s="6">
        <f>M18-O18</f>
        <v>355.96999999997206</v>
      </c>
    </row>
    <row r="19" spans="1:16" x14ac:dyDescent="0.25">
      <c r="A19" s="4" t="s">
        <v>10</v>
      </c>
      <c r="B19" s="20">
        <v>352732.09</v>
      </c>
      <c r="C19" s="20"/>
      <c r="D19" s="6">
        <f t="shared" si="2"/>
        <v>352732.09</v>
      </c>
      <c r="E19" s="20"/>
      <c r="F19" s="20"/>
      <c r="G19" s="20"/>
      <c r="H19" s="20"/>
      <c r="I19" s="20"/>
      <c r="J19" s="20"/>
      <c r="K19" s="20"/>
      <c r="L19" s="39"/>
      <c r="M19" s="17">
        <f t="shared" si="3"/>
        <v>352732.09</v>
      </c>
      <c r="N19" s="102"/>
    </row>
    <row r="20" spans="1:16" x14ac:dyDescent="0.25">
      <c r="A20" s="4" t="s">
        <v>190</v>
      </c>
      <c r="B20" s="20">
        <v>101133.21</v>
      </c>
      <c r="C20" s="20"/>
      <c r="D20" s="6">
        <f t="shared" si="2"/>
        <v>101133.21</v>
      </c>
      <c r="E20" s="20"/>
      <c r="F20" s="20"/>
      <c r="G20" s="20"/>
      <c r="H20" s="20"/>
      <c r="I20" s="20"/>
      <c r="J20" s="20"/>
      <c r="K20" s="20"/>
      <c r="L20" s="39"/>
      <c r="M20" s="17">
        <f t="shared" si="3"/>
        <v>101133.21</v>
      </c>
      <c r="N20" s="102"/>
    </row>
    <row r="21" spans="1:16" x14ac:dyDescent="0.25">
      <c r="A21" s="4" t="s">
        <v>11</v>
      </c>
      <c r="B21" s="20">
        <v>66854.37</v>
      </c>
      <c r="C21" s="20">
        <v>-66854.37</v>
      </c>
      <c r="D21" s="6">
        <f t="shared" si="2"/>
        <v>0</v>
      </c>
      <c r="E21" s="20"/>
      <c r="F21" s="20"/>
      <c r="G21" s="20"/>
      <c r="H21" s="20"/>
      <c r="I21" s="20"/>
      <c r="J21" s="20">
        <f>J8-J18</f>
        <v>23285.990000000049</v>
      </c>
      <c r="K21" s="20"/>
      <c r="L21" s="39"/>
      <c r="M21" s="17">
        <f t="shared" si="3"/>
        <v>23285.990000000049</v>
      </c>
      <c r="N21" s="102"/>
    </row>
    <row r="22" spans="1:16" x14ac:dyDescent="0.25">
      <c r="A22" s="4" t="s">
        <v>394</v>
      </c>
      <c r="B22" s="20">
        <v>1808399.16</v>
      </c>
      <c r="C22" s="20">
        <f>-72905.8+12028-1459235</f>
        <v>-1520112.8</v>
      </c>
      <c r="D22" s="63">
        <f>B22+C22</f>
        <v>288286.35999999987</v>
      </c>
      <c r="E22" s="20"/>
      <c r="F22" s="20"/>
      <c r="G22" s="20"/>
      <c r="H22" s="20"/>
      <c r="I22" s="20"/>
      <c r="J22" s="20"/>
      <c r="K22" s="20"/>
      <c r="L22" s="39"/>
      <c r="M22" s="17">
        <f t="shared" si="3"/>
        <v>288286.35999999987</v>
      </c>
      <c r="N22" s="102"/>
    </row>
    <row r="23" spans="1:16" x14ac:dyDescent="0.25">
      <c r="A23" s="2" t="s">
        <v>13</v>
      </c>
      <c r="B23" s="6">
        <f>SUM(B18:B22)</f>
        <v>3062441.58</v>
      </c>
      <c r="C23" s="6">
        <f>SUM(C18:C22)</f>
        <v>-1520112.8</v>
      </c>
      <c r="D23" s="6">
        <f t="shared" si="2"/>
        <v>1542328.78</v>
      </c>
      <c r="E23" s="6">
        <f t="shared" ref="E23:J23" si="4">SUM(E18:E22)</f>
        <v>0</v>
      </c>
      <c r="F23" s="6">
        <f t="shared" si="4"/>
        <v>0</v>
      </c>
      <c r="G23" s="6">
        <f t="shared" si="4"/>
        <v>0</v>
      </c>
      <c r="H23" s="6">
        <f t="shared" si="4"/>
        <v>0</v>
      </c>
      <c r="I23" s="6">
        <f t="shared" si="4"/>
        <v>0</v>
      </c>
      <c r="J23" s="6">
        <f t="shared" si="4"/>
        <v>382156.84</v>
      </c>
      <c r="K23" s="17">
        <f>SUM(K18:K22)</f>
        <v>0</v>
      </c>
      <c r="M23" s="17">
        <f t="shared" si="3"/>
        <v>1924485.62</v>
      </c>
      <c r="N23" s="102">
        <f>SUM(M18:M22)</f>
        <v>1924485.6199999999</v>
      </c>
    </row>
    <row r="24" spans="1:16" x14ac:dyDescent="0.25">
      <c r="A24" s="2"/>
      <c r="B24" s="6"/>
      <c r="D24" s="6"/>
      <c r="J24" s="6"/>
      <c r="M24" s="17"/>
      <c r="N24" s="102"/>
    </row>
    <row r="25" spans="1:16" x14ac:dyDescent="0.25">
      <c r="A25" s="3" t="s">
        <v>347</v>
      </c>
      <c r="B25" s="6"/>
      <c r="D25" s="6"/>
      <c r="J25" s="6"/>
      <c r="M25" s="17"/>
      <c r="N25" s="102"/>
    </row>
    <row r="26" spans="1:16" x14ac:dyDescent="0.25">
      <c r="A26" s="2" t="s">
        <v>348</v>
      </c>
      <c r="B26" s="20"/>
      <c r="C26" s="20">
        <v>1459235</v>
      </c>
      <c r="D26" s="6">
        <f>B26+C26</f>
        <v>1459235</v>
      </c>
      <c r="E26" s="20"/>
      <c r="F26" s="20"/>
      <c r="G26" s="20"/>
      <c r="H26" s="20"/>
      <c r="I26" s="20"/>
      <c r="J26" s="20"/>
      <c r="K26" s="20"/>
      <c r="M26" s="17">
        <f>D26+E26+F26+G26+H26+I26+J26+K26+L26</f>
        <v>1459235</v>
      </c>
      <c r="N26" s="102"/>
    </row>
    <row r="27" spans="1:16" x14ac:dyDescent="0.25">
      <c r="A27" s="2" t="s">
        <v>349</v>
      </c>
      <c r="B27" s="20"/>
      <c r="C27" s="20"/>
      <c r="D27" s="6">
        <f>B27+C27</f>
        <v>0</v>
      </c>
      <c r="E27" s="20"/>
      <c r="F27" s="20"/>
      <c r="G27" s="20"/>
      <c r="H27" s="20"/>
      <c r="I27" s="20"/>
      <c r="J27" s="20"/>
      <c r="K27" s="20"/>
      <c r="M27" s="17">
        <f>D27+E27+F27+G27+H27+I27+J27+K27+L27</f>
        <v>0</v>
      </c>
      <c r="N27" s="102"/>
    </row>
    <row r="28" spans="1:16" x14ac:dyDescent="0.25">
      <c r="A28" s="2" t="s">
        <v>350</v>
      </c>
      <c r="B28" s="6">
        <f>SUM(B26:B27)</f>
        <v>0</v>
      </c>
      <c r="C28" s="6">
        <f>SUM(C26:C27)</f>
        <v>1459235</v>
      </c>
      <c r="D28" s="6">
        <f t="shared" ref="D28:K28" si="5">SUM(D26:D27)</f>
        <v>1459235</v>
      </c>
      <c r="E28" s="6">
        <f t="shared" si="5"/>
        <v>0</v>
      </c>
      <c r="F28" s="6">
        <f t="shared" si="5"/>
        <v>0</v>
      </c>
      <c r="G28" s="6">
        <f t="shared" si="5"/>
        <v>0</v>
      </c>
      <c r="H28" s="6">
        <f t="shared" si="5"/>
        <v>0</v>
      </c>
      <c r="I28" s="6">
        <f t="shared" si="5"/>
        <v>0</v>
      </c>
      <c r="J28" s="6">
        <f t="shared" si="5"/>
        <v>0</v>
      </c>
      <c r="K28" s="6">
        <f t="shared" si="5"/>
        <v>0</v>
      </c>
      <c r="M28" s="17">
        <f>D28+E28+F28+G28+H28+I28+J28+K28+L28</f>
        <v>1459235</v>
      </c>
      <c r="N28" s="102"/>
    </row>
    <row r="29" spans="1:16" x14ac:dyDescent="0.25">
      <c r="B29" s="6"/>
      <c r="D29" s="6"/>
      <c r="J29" s="6"/>
      <c r="M29" s="17"/>
      <c r="N29" s="102"/>
    </row>
    <row r="30" spans="1:16" x14ac:dyDescent="0.25">
      <c r="A30" s="3" t="s">
        <v>14</v>
      </c>
      <c r="B30" s="6"/>
      <c r="D30" s="6"/>
      <c r="J30" s="6"/>
      <c r="M30" s="17"/>
      <c r="N30" s="102"/>
    </row>
    <row r="31" spans="1:16" x14ac:dyDescent="0.25">
      <c r="A31" s="2" t="s">
        <v>331</v>
      </c>
      <c r="B31" s="6"/>
      <c r="D31" s="6"/>
      <c r="J31" s="6"/>
      <c r="M31" s="17"/>
      <c r="N31" s="102"/>
    </row>
    <row r="32" spans="1:16" x14ac:dyDescent="0.25">
      <c r="A32" s="4" t="s">
        <v>15</v>
      </c>
      <c r="B32" s="20"/>
      <c r="C32" s="20"/>
      <c r="D32" s="6">
        <f>B32+C32</f>
        <v>0</v>
      </c>
      <c r="E32" s="20"/>
      <c r="F32" s="20"/>
      <c r="G32" s="20"/>
      <c r="H32" s="20"/>
      <c r="I32" s="20"/>
      <c r="J32" s="20"/>
      <c r="K32" s="20"/>
      <c r="L32" s="39"/>
      <c r="M32" s="17">
        <f>D32+E32+F32+G32+H32+I32+J32+K32+L32</f>
        <v>0</v>
      </c>
      <c r="N32" s="102"/>
    </row>
    <row r="33" spans="1:14" x14ac:dyDescent="0.25">
      <c r="A33" s="4" t="s">
        <v>332</v>
      </c>
      <c r="B33" s="20"/>
      <c r="C33" s="20">
        <f>283321</f>
        <v>283321</v>
      </c>
      <c r="D33" s="6">
        <f t="shared" ref="D33:D49" si="6">B33+C33</f>
        <v>283321</v>
      </c>
      <c r="E33" s="20">
        <v>1231100.05</v>
      </c>
      <c r="F33" s="20"/>
      <c r="G33" s="20"/>
      <c r="H33" s="20"/>
      <c r="I33" s="20"/>
      <c r="J33" s="20"/>
      <c r="K33" s="20"/>
      <c r="L33" s="39"/>
      <c r="M33" s="17">
        <f>D33+E33+F33+G33+H33+I33+J33+K33+L33</f>
        <v>1514421.05</v>
      </c>
      <c r="N33" s="102"/>
    </row>
    <row r="34" spans="1:14" x14ac:dyDescent="0.25">
      <c r="A34" s="4" t="s">
        <v>149</v>
      </c>
      <c r="B34" s="20"/>
      <c r="C34" s="20"/>
      <c r="D34" s="6">
        <f t="shared" si="6"/>
        <v>0</v>
      </c>
      <c r="E34" s="20"/>
      <c r="F34" s="20"/>
      <c r="G34" s="20"/>
      <c r="H34" s="20"/>
      <c r="I34" s="20"/>
      <c r="J34" s="20"/>
      <c r="K34" s="20"/>
      <c r="L34" s="39"/>
      <c r="M34" s="17">
        <f t="shared" ref="M34:M49" si="7">D34+E34+F34+G34+H34+I34+J34+K34+L34</f>
        <v>0</v>
      </c>
      <c r="N34" s="102"/>
    </row>
    <row r="35" spans="1:14" x14ac:dyDescent="0.25">
      <c r="A35" s="4" t="s">
        <v>162</v>
      </c>
      <c r="B35" s="20"/>
      <c r="C35" s="20"/>
      <c r="D35" s="6">
        <f t="shared" si="6"/>
        <v>0</v>
      </c>
      <c r="E35" s="20"/>
      <c r="F35" s="20"/>
      <c r="G35" s="20"/>
      <c r="H35" s="20"/>
      <c r="I35" s="20"/>
      <c r="J35" s="20"/>
      <c r="K35" s="20"/>
      <c r="L35" s="39"/>
      <c r="M35" s="17">
        <f t="shared" si="7"/>
        <v>0</v>
      </c>
      <c r="N35" s="102"/>
    </row>
    <row r="36" spans="1:14" x14ac:dyDescent="0.25">
      <c r="A36" s="4" t="s">
        <v>333</v>
      </c>
      <c r="B36" s="20"/>
      <c r="C36" s="20"/>
      <c r="D36" s="6">
        <f t="shared" si="6"/>
        <v>0</v>
      </c>
      <c r="E36" s="20"/>
      <c r="F36" s="20"/>
      <c r="G36" s="20"/>
      <c r="H36" s="20"/>
      <c r="I36" s="20"/>
      <c r="J36" s="20"/>
      <c r="K36" s="20"/>
      <c r="L36" s="39"/>
      <c r="M36" s="17">
        <f t="shared" si="7"/>
        <v>0</v>
      </c>
      <c r="N36" s="102"/>
    </row>
    <row r="37" spans="1:14" x14ac:dyDescent="0.25">
      <c r="A37" s="4" t="s">
        <v>334</v>
      </c>
      <c r="B37" s="20"/>
      <c r="C37" s="20"/>
      <c r="D37" s="6">
        <f t="shared" si="6"/>
        <v>0</v>
      </c>
      <c r="E37" s="20"/>
      <c r="F37" s="20"/>
      <c r="G37" s="20"/>
      <c r="H37" s="20"/>
      <c r="I37" s="20"/>
      <c r="J37" s="20"/>
      <c r="K37" s="20"/>
      <c r="L37" s="39"/>
      <c r="M37" s="17">
        <f t="shared" si="7"/>
        <v>0</v>
      </c>
      <c r="N37" s="102"/>
    </row>
    <row r="38" spans="1:14" x14ac:dyDescent="0.25">
      <c r="A38" s="4" t="s">
        <v>335</v>
      </c>
      <c r="B38" s="20"/>
      <c r="C38" s="20"/>
      <c r="D38" s="6">
        <f t="shared" si="6"/>
        <v>0</v>
      </c>
      <c r="E38" s="20"/>
      <c r="F38" s="20"/>
      <c r="G38" s="20"/>
      <c r="H38" s="20"/>
      <c r="I38" s="20"/>
      <c r="J38" s="20"/>
      <c r="K38" s="20"/>
      <c r="L38" s="39"/>
      <c r="M38" s="17">
        <f t="shared" si="7"/>
        <v>0</v>
      </c>
      <c r="N38" s="102"/>
    </row>
    <row r="39" spans="1:14" x14ac:dyDescent="0.25">
      <c r="A39" s="4" t="s">
        <v>336</v>
      </c>
      <c r="B39" s="20"/>
      <c r="C39" s="20"/>
      <c r="D39" s="6">
        <f t="shared" si="6"/>
        <v>0</v>
      </c>
      <c r="E39" s="20"/>
      <c r="F39" s="20"/>
      <c r="G39" s="20"/>
      <c r="H39" s="20"/>
      <c r="I39" s="20"/>
      <c r="J39" s="20"/>
      <c r="K39" s="20"/>
      <c r="L39" s="39"/>
      <c r="M39" s="17">
        <f t="shared" si="7"/>
        <v>0</v>
      </c>
      <c r="N39" s="102"/>
    </row>
    <row r="40" spans="1:14" x14ac:dyDescent="0.25">
      <c r="A40" s="4" t="s">
        <v>337</v>
      </c>
      <c r="B40" s="20"/>
      <c r="C40" s="20"/>
      <c r="D40" s="6">
        <f t="shared" si="6"/>
        <v>0</v>
      </c>
      <c r="E40" s="20"/>
      <c r="F40" s="20"/>
      <c r="G40" s="20"/>
      <c r="H40" s="20"/>
      <c r="I40" s="20"/>
      <c r="J40" s="20"/>
      <c r="K40" s="20"/>
      <c r="L40" s="39"/>
      <c r="M40" s="17">
        <f t="shared" si="7"/>
        <v>0</v>
      </c>
      <c r="N40" s="102"/>
    </row>
    <row r="41" spans="1:14" x14ac:dyDescent="0.25">
      <c r="A41" s="4" t="s">
        <v>338</v>
      </c>
      <c r="B41" s="20"/>
      <c r="C41" s="20"/>
      <c r="D41" s="6">
        <f t="shared" si="6"/>
        <v>0</v>
      </c>
      <c r="E41" s="20"/>
      <c r="F41" s="20"/>
      <c r="G41" s="20"/>
      <c r="H41" s="20"/>
      <c r="I41" s="20"/>
      <c r="J41" s="20"/>
      <c r="K41" s="20"/>
      <c r="L41" s="39"/>
      <c r="M41" s="17">
        <f t="shared" si="7"/>
        <v>0</v>
      </c>
      <c r="N41" s="102"/>
    </row>
    <row r="42" spans="1:14" x14ac:dyDescent="0.25">
      <c r="A42" s="4" t="s">
        <v>339</v>
      </c>
      <c r="B42" s="20"/>
      <c r="C42" s="20"/>
      <c r="D42" s="6">
        <f t="shared" si="6"/>
        <v>0</v>
      </c>
      <c r="E42" s="20"/>
      <c r="F42" s="20"/>
      <c r="G42" s="20"/>
      <c r="H42" s="20"/>
      <c r="I42" s="20"/>
      <c r="J42" s="20"/>
      <c r="K42" s="20"/>
      <c r="L42" s="39"/>
      <c r="M42" s="17">
        <f t="shared" si="7"/>
        <v>0</v>
      </c>
      <c r="N42" s="102"/>
    </row>
    <row r="43" spans="1:14" x14ac:dyDescent="0.25">
      <c r="A43" s="4" t="s">
        <v>151</v>
      </c>
      <c r="B43" s="20"/>
      <c r="C43" s="20"/>
      <c r="D43" s="6">
        <f t="shared" si="6"/>
        <v>0</v>
      </c>
      <c r="E43" s="20"/>
      <c r="F43" s="20"/>
      <c r="G43" s="20"/>
      <c r="H43" s="20"/>
      <c r="I43" s="20"/>
      <c r="J43" s="20"/>
      <c r="K43" s="20"/>
      <c r="L43" s="39"/>
      <c r="M43" s="17">
        <f t="shared" si="7"/>
        <v>0</v>
      </c>
      <c r="N43" s="102"/>
    </row>
    <row r="44" spans="1:14" x14ac:dyDescent="0.25">
      <c r="A44" s="4" t="s">
        <v>340</v>
      </c>
      <c r="B44" s="20"/>
      <c r="C44" s="20"/>
      <c r="D44" s="6">
        <f t="shared" si="6"/>
        <v>0</v>
      </c>
      <c r="E44" s="20"/>
      <c r="F44" s="20"/>
      <c r="G44" s="20"/>
      <c r="H44" s="20"/>
      <c r="I44" s="20"/>
      <c r="J44" s="20"/>
      <c r="K44" s="20"/>
      <c r="L44" s="39"/>
      <c r="M44" s="17">
        <f t="shared" si="7"/>
        <v>0</v>
      </c>
      <c r="N44" s="102"/>
    </row>
    <row r="45" spans="1:14" x14ac:dyDescent="0.25">
      <c r="A45" s="61" t="s">
        <v>341</v>
      </c>
      <c r="B45" s="20">
        <f>35384.2</f>
        <v>35384.199999999997</v>
      </c>
      <c r="C45" s="20">
        <v>-35384.199999999997</v>
      </c>
      <c r="D45" s="6">
        <f t="shared" si="6"/>
        <v>0</v>
      </c>
      <c r="E45" s="20"/>
      <c r="F45" s="20"/>
      <c r="G45" s="20"/>
      <c r="H45" s="20"/>
      <c r="I45" s="20"/>
      <c r="J45" s="20"/>
      <c r="K45" s="20"/>
      <c r="L45" s="39"/>
      <c r="M45" s="17">
        <f t="shared" si="7"/>
        <v>0</v>
      </c>
      <c r="N45" s="102"/>
    </row>
    <row r="46" spans="1:14" x14ac:dyDescent="0.25">
      <c r="A46" s="4" t="s">
        <v>342</v>
      </c>
      <c r="B46" s="20"/>
      <c r="C46" s="20"/>
      <c r="D46" s="6">
        <f t="shared" si="6"/>
        <v>0</v>
      </c>
      <c r="E46" s="20"/>
      <c r="F46" s="20"/>
      <c r="G46" s="20"/>
      <c r="H46" s="20"/>
      <c r="I46" s="20"/>
      <c r="J46" s="20"/>
      <c r="K46" s="20"/>
      <c r="L46" s="39"/>
      <c r="M46" s="17">
        <f t="shared" si="7"/>
        <v>0</v>
      </c>
      <c r="N46" s="102"/>
    </row>
    <row r="47" spans="1:14" x14ac:dyDescent="0.25">
      <c r="A47" s="4" t="s">
        <v>343</v>
      </c>
      <c r="B47" s="20"/>
      <c r="C47" s="20"/>
      <c r="D47" s="6">
        <f t="shared" si="6"/>
        <v>0</v>
      </c>
      <c r="E47" s="20"/>
      <c r="F47" s="20"/>
      <c r="G47" s="20"/>
      <c r="H47" s="20"/>
      <c r="I47" s="20"/>
      <c r="J47" s="20"/>
      <c r="K47" s="20"/>
      <c r="L47" s="39"/>
      <c r="M47" s="17">
        <f t="shared" si="7"/>
        <v>0</v>
      </c>
      <c r="N47" s="102"/>
    </row>
    <row r="48" spans="1:14" x14ac:dyDescent="0.25">
      <c r="A48" s="4" t="s">
        <v>344</v>
      </c>
      <c r="B48" s="20"/>
      <c r="C48" s="20"/>
      <c r="D48" s="6">
        <f t="shared" si="6"/>
        <v>0</v>
      </c>
      <c r="E48" s="20"/>
      <c r="F48" s="20"/>
      <c r="G48" s="20"/>
      <c r="H48" s="20"/>
      <c r="I48" s="20"/>
      <c r="J48" s="20"/>
      <c r="K48" s="20"/>
      <c r="L48" s="39"/>
      <c r="M48" s="17">
        <f t="shared" si="7"/>
        <v>0</v>
      </c>
      <c r="N48" s="102"/>
    </row>
    <row r="49" spans="1:15" x14ac:dyDescent="0.25">
      <c r="A49" s="4" t="s">
        <v>345</v>
      </c>
      <c r="B49" s="20"/>
      <c r="C49" s="20"/>
      <c r="D49" s="6">
        <f t="shared" si="6"/>
        <v>0</v>
      </c>
      <c r="E49" s="20"/>
      <c r="F49" s="20"/>
      <c r="G49" s="20"/>
      <c r="H49" s="20"/>
      <c r="I49" s="20"/>
      <c r="J49" s="20"/>
      <c r="K49" s="20"/>
      <c r="L49" s="39"/>
      <c r="M49" s="17">
        <f t="shared" si="7"/>
        <v>0</v>
      </c>
      <c r="N49" s="102"/>
    </row>
    <row r="50" spans="1:15" x14ac:dyDescent="0.25">
      <c r="A50" s="62" t="s">
        <v>346</v>
      </c>
      <c r="B50" s="20">
        <v>5436605.6200000001</v>
      </c>
      <c r="C50" s="20">
        <f>35384.2+11375</f>
        <v>46759.199999999997</v>
      </c>
      <c r="D50" s="6">
        <f>B50+C50</f>
        <v>5483364.8200000003</v>
      </c>
      <c r="E50" s="20"/>
      <c r="F50" s="20"/>
      <c r="G50" s="20"/>
      <c r="H50" s="20"/>
      <c r="I50" s="20"/>
      <c r="J50" s="20"/>
      <c r="K50" s="20">
        <v>3510.42</v>
      </c>
      <c r="L50" s="39"/>
      <c r="M50" s="17">
        <f>D50+E50+F50+G50+H50+I50+J50+K50+L50</f>
        <v>5486875.2400000002</v>
      </c>
      <c r="N50" s="102"/>
    </row>
    <row r="51" spans="1:15" x14ac:dyDescent="0.25">
      <c r="A51" s="2" t="s">
        <v>18</v>
      </c>
      <c r="B51" s="6">
        <f>SUM(B32:B50)</f>
        <v>5471989.8200000003</v>
      </c>
      <c r="C51" s="6">
        <f>SUM(C32:C50)</f>
        <v>294696</v>
      </c>
      <c r="D51" s="6">
        <f>B51+C51</f>
        <v>5766685.8200000003</v>
      </c>
      <c r="E51" s="6">
        <f>SUM(E32:E50)</f>
        <v>1231100.05</v>
      </c>
      <c r="F51" s="6">
        <f t="shared" ref="F51:K51" si="8">SUM(F32:F50)</f>
        <v>0</v>
      </c>
      <c r="G51" s="6">
        <f t="shared" si="8"/>
        <v>0</v>
      </c>
      <c r="H51" s="6">
        <f t="shared" si="8"/>
        <v>0</v>
      </c>
      <c r="I51" s="6">
        <f t="shared" si="8"/>
        <v>0</v>
      </c>
      <c r="J51" s="6">
        <f t="shared" si="8"/>
        <v>0</v>
      </c>
      <c r="K51" s="17">
        <f t="shared" si="8"/>
        <v>3510.42</v>
      </c>
      <c r="M51" s="17">
        <f>D51+E51+F51+G51+H51+I51+J51+K51+L51</f>
        <v>7001296.29</v>
      </c>
      <c r="N51" s="102">
        <f>SUM(M32:M50)</f>
        <v>7001296.29</v>
      </c>
    </row>
    <row r="52" spans="1:15" x14ac:dyDescent="0.25">
      <c r="B52" s="6"/>
      <c r="D52" s="6"/>
      <c r="J52" s="6"/>
      <c r="M52" s="17"/>
      <c r="N52" s="102"/>
    </row>
    <row r="53" spans="1:15" x14ac:dyDescent="0.25">
      <c r="A53" s="2" t="s">
        <v>19</v>
      </c>
      <c r="B53" s="6">
        <f t="shared" ref="B53:K53" si="9">B23+B51+B28</f>
        <v>8534431.4000000004</v>
      </c>
      <c r="C53" s="6">
        <f t="shared" si="9"/>
        <v>233818.19999999995</v>
      </c>
      <c r="D53" s="6">
        <f t="shared" si="9"/>
        <v>8768249.6000000015</v>
      </c>
      <c r="E53" s="6">
        <f t="shared" si="9"/>
        <v>1231100.05</v>
      </c>
      <c r="F53" s="6">
        <f t="shared" si="9"/>
        <v>0</v>
      </c>
      <c r="G53" s="6">
        <f t="shared" si="9"/>
        <v>0</v>
      </c>
      <c r="H53" s="6">
        <f t="shared" si="9"/>
        <v>0</v>
      </c>
      <c r="I53" s="6">
        <f t="shared" si="9"/>
        <v>0</v>
      </c>
      <c r="J53" s="6">
        <f t="shared" si="9"/>
        <v>382156.84</v>
      </c>
      <c r="K53" s="6">
        <f t="shared" si="9"/>
        <v>3510.42</v>
      </c>
      <c r="M53" s="6">
        <f>M23+M51+M28</f>
        <v>10385016.91</v>
      </c>
      <c r="N53" s="102"/>
    </row>
    <row r="54" spans="1:15" x14ac:dyDescent="0.25">
      <c r="B54" s="49" t="str">
        <f t="shared" ref="B54:M54" si="10">IF(B15=B53, "YES", "NO")</f>
        <v>YES</v>
      </c>
      <c r="C54" s="49" t="str">
        <f t="shared" si="10"/>
        <v>YES</v>
      </c>
      <c r="D54" s="49" t="str">
        <f t="shared" si="10"/>
        <v>YES</v>
      </c>
      <c r="E54" s="49" t="str">
        <f t="shared" si="10"/>
        <v>YES</v>
      </c>
      <c r="F54" s="49" t="str">
        <f t="shared" si="10"/>
        <v>YES</v>
      </c>
      <c r="G54" s="49" t="str">
        <f t="shared" si="10"/>
        <v>YES</v>
      </c>
      <c r="H54" s="49" t="str">
        <f t="shared" si="10"/>
        <v>YES</v>
      </c>
      <c r="I54" s="49" t="str">
        <f t="shared" si="10"/>
        <v>YES</v>
      </c>
      <c r="J54" s="49" t="str">
        <f t="shared" si="10"/>
        <v>YES</v>
      </c>
      <c r="K54" s="49" t="str">
        <f t="shared" si="10"/>
        <v>YES</v>
      </c>
      <c r="L54" s="49" t="str">
        <f t="shared" si="10"/>
        <v>YES</v>
      </c>
      <c r="M54" s="49" t="str">
        <f t="shared" si="10"/>
        <v>YES</v>
      </c>
      <c r="N54" s="102"/>
    </row>
    <row r="55" spans="1:15" x14ac:dyDescent="0.25">
      <c r="A55" s="3" t="s">
        <v>20</v>
      </c>
      <c r="B55" s="6"/>
      <c r="D55" s="6"/>
      <c r="J55" s="6"/>
      <c r="M55" s="17"/>
      <c r="N55" s="102"/>
    </row>
    <row r="56" spans="1:15" x14ac:dyDescent="0.25">
      <c r="A56" t="s">
        <v>199</v>
      </c>
      <c r="B56" s="25">
        <f>'General Fund - Revenue'!E76+'General Fund - Revenue'!G76+'General Fund - Revenue'!H76</f>
        <v>11755541.029999999</v>
      </c>
      <c r="C56" s="181"/>
      <c r="D56" s="6">
        <f>B56+C56</f>
        <v>11755541.029999999</v>
      </c>
      <c r="E56" s="20"/>
      <c r="F56" s="20"/>
      <c r="G56" s="20"/>
      <c r="H56" s="20"/>
      <c r="I56" s="20"/>
      <c r="J56" s="20"/>
      <c r="K56" s="20"/>
      <c r="L56" s="39"/>
      <c r="M56" s="17">
        <f t="shared" ref="M56:M63" si="11">D56+E56+F56+G56+H56+I56+J56+K56+L56</f>
        <v>11755541.029999999</v>
      </c>
      <c r="N56" s="102"/>
    </row>
    <row r="57" spans="1:15" x14ac:dyDescent="0.25">
      <c r="A57" t="s">
        <v>200</v>
      </c>
      <c r="B57" s="25">
        <f>'General Fund - Revenue'!Q76</f>
        <v>49720</v>
      </c>
      <c r="C57" s="181"/>
      <c r="D57" s="6">
        <f t="shared" ref="D57:D64" si="12">B57+C57</f>
        <v>49720</v>
      </c>
      <c r="E57" s="20"/>
      <c r="F57" s="20"/>
      <c r="G57" s="20"/>
      <c r="H57" s="20"/>
      <c r="I57" s="20"/>
      <c r="J57" s="20"/>
      <c r="K57" s="20"/>
      <c r="L57" s="39"/>
      <c r="M57" s="17">
        <f t="shared" si="11"/>
        <v>49720</v>
      </c>
      <c r="N57" s="102"/>
    </row>
    <row r="58" spans="1:15" x14ac:dyDescent="0.25">
      <c r="A58" s="4" t="s">
        <v>21</v>
      </c>
      <c r="B58" s="25">
        <f>'General Fund - Revenue'!I76+'General Fund - Revenue'!L76</f>
        <v>1728287.25</v>
      </c>
      <c r="C58" s="181"/>
      <c r="D58" s="6">
        <f t="shared" si="12"/>
        <v>1728287.25</v>
      </c>
      <c r="E58" s="20"/>
      <c r="F58" s="20"/>
      <c r="G58" s="20"/>
      <c r="H58" s="20"/>
      <c r="I58" s="20"/>
      <c r="J58" s="20"/>
      <c r="K58" s="20"/>
      <c r="L58" s="39"/>
      <c r="M58" s="17">
        <f t="shared" si="11"/>
        <v>1728287.25</v>
      </c>
      <c r="N58" s="102"/>
    </row>
    <row r="59" spans="1:15" x14ac:dyDescent="0.25">
      <c r="A59" s="4" t="s">
        <v>22</v>
      </c>
      <c r="B59" s="25">
        <f>'General Fund - Revenue'!M76</f>
        <v>2322656.7199999997</v>
      </c>
      <c r="C59" s="181"/>
      <c r="D59" s="6">
        <f t="shared" si="12"/>
        <v>2322656.7199999997</v>
      </c>
      <c r="E59" s="20"/>
      <c r="F59" s="20"/>
      <c r="G59" s="20"/>
      <c r="H59" s="20"/>
      <c r="I59" s="20"/>
      <c r="J59" s="20"/>
      <c r="K59" s="20"/>
      <c r="L59" s="39"/>
      <c r="M59" s="41">
        <f t="shared" si="11"/>
        <v>2322656.7199999997</v>
      </c>
      <c r="N59" s="102"/>
    </row>
    <row r="60" spans="1:15" x14ac:dyDescent="0.25">
      <c r="A60" s="4" t="s">
        <v>201</v>
      </c>
      <c r="B60" s="25">
        <f>'General Fund - Revenue'!N76</f>
        <v>135423.06</v>
      </c>
      <c r="C60" s="181"/>
      <c r="D60" s="6">
        <f t="shared" si="12"/>
        <v>135423.06</v>
      </c>
      <c r="E60" s="20"/>
      <c r="F60" s="20"/>
      <c r="G60" s="20"/>
      <c r="H60" s="20"/>
      <c r="I60" s="20"/>
      <c r="J60" s="20"/>
      <c r="K60" s="20"/>
      <c r="L60" s="39"/>
      <c r="M60" s="17">
        <f t="shared" si="11"/>
        <v>135423.06</v>
      </c>
      <c r="N60" s="102"/>
      <c r="O60" t="s">
        <v>311</v>
      </c>
    </row>
    <row r="61" spans="1:15" x14ac:dyDescent="0.25">
      <c r="A61" s="4" t="s">
        <v>23</v>
      </c>
      <c r="B61" s="25">
        <f>'General Fund - Revenue'!O76</f>
        <v>13659.71</v>
      </c>
      <c r="C61" s="181"/>
      <c r="D61" s="6">
        <f t="shared" si="12"/>
        <v>13659.71</v>
      </c>
      <c r="E61" s="20">
        <v>2876.95</v>
      </c>
      <c r="F61" s="20"/>
      <c r="G61" s="20"/>
      <c r="H61" s="20"/>
      <c r="I61" s="20"/>
      <c r="J61" s="20"/>
      <c r="K61" s="20"/>
      <c r="L61" s="39"/>
      <c r="M61" s="17">
        <f t="shared" si="11"/>
        <v>16536.66</v>
      </c>
      <c r="N61" s="102"/>
    </row>
    <row r="62" spans="1:15" x14ac:dyDescent="0.25">
      <c r="A62" s="4" t="s">
        <v>117</v>
      </c>
      <c r="B62" s="25"/>
      <c r="C62" s="181"/>
      <c r="D62" s="6">
        <f t="shared" si="12"/>
        <v>0</v>
      </c>
      <c r="E62" s="20"/>
      <c r="F62" s="20"/>
      <c r="G62" s="20"/>
      <c r="H62" s="20"/>
      <c r="I62" s="20"/>
      <c r="J62" s="20"/>
      <c r="K62" s="20"/>
      <c r="L62" s="39"/>
      <c r="M62" s="17">
        <f t="shared" si="11"/>
        <v>0</v>
      </c>
      <c r="N62" s="102"/>
    </row>
    <row r="63" spans="1:15" x14ac:dyDescent="0.25">
      <c r="A63" s="4" t="s">
        <v>24</v>
      </c>
      <c r="B63" s="25">
        <f>'General Fund - Revenue'!N80</f>
        <v>112767.83</v>
      </c>
      <c r="C63" s="181">
        <v>12809.39</v>
      </c>
      <c r="D63" s="6">
        <f t="shared" si="12"/>
        <v>125577.22</v>
      </c>
      <c r="E63" s="20">
        <v>2091.9299999999998</v>
      </c>
      <c r="F63" s="20"/>
      <c r="G63" s="20"/>
      <c r="H63" s="20"/>
      <c r="I63" s="20"/>
      <c r="J63" s="20"/>
      <c r="K63" s="20">
        <v>7895.17</v>
      </c>
      <c r="L63" s="39"/>
      <c r="M63" s="17">
        <f t="shared" si="11"/>
        <v>135564.32</v>
      </c>
      <c r="N63" s="102"/>
    </row>
    <row r="64" spans="1:15" x14ac:dyDescent="0.25">
      <c r="A64" s="2" t="s">
        <v>25</v>
      </c>
      <c r="B64" s="71">
        <f>SUM(B56:B63)</f>
        <v>16118055.600000001</v>
      </c>
      <c r="C64" s="6">
        <f>SUM(C56:C63)</f>
        <v>12809.39</v>
      </c>
      <c r="D64" s="6">
        <f t="shared" si="12"/>
        <v>16130864.990000002</v>
      </c>
      <c r="E64" s="6">
        <f t="shared" ref="E64:J64" si="13">SUM(E56:E63)</f>
        <v>4968.8799999999992</v>
      </c>
      <c r="F64" s="6">
        <f t="shared" si="13"/>
        <v>0</v>
      </c>
      <c r="G64" s="6">
        <f t="shared" si="13"/>
        <v>0</v>
      </c>
      <c r="H64" s="6">
        <f t="shared" si="13"/>
        <v>0</v>
      </c>
      <c r="I64" s="6">
        <f t="shared" si="13"/>
        <v>0</v>
      </c>
      <c r="J64" s="6">
        <f t="shared" si="13"/>
        <v>0</v>
      </c>
      <c r="K64" s="17">
        <f>SUM(K56:K63)</f>
        <v>7895.17</v>
      </c>
      <c r="M64" s="17">
        <f>SUM(M56:M63)</f>
        <v>16143729.040000001</v>
      </c>
      <c r="N64" s="102"/>
    </row>
    <row r="65" spans="1:14" x14ac:dyDescent="0.25">
      <c r="B65" s="71"/>
      <c r="D65" s="6"/>
      <c r="J65" s="6"/>
      <c r="M65" s="17"/>
      <c r="N65" s="102"/>
    </row>
    <row r="66" spans="1:14" x14ac:dyDescent="0.25">
      <c r="A66" s="3" t="s">
        <v>26</v>
      </c>
      <c r="B66" s="71"/>
      <c r="D66" s="6"/>
      <c r="J66" s="6"/>
      <c r="M66" s="17"/>
      <c r="N66" s="102"/>
    </row>
    <row r="67" spans="1:14" x14ac:dyDescent="0.25">
      <c r="A67" s="4" t="s">
        <v>27</v>
      </c>
      <c r="B67" s="25">
        <f>'General Fund - Revenue'!U76</f>
        <v>6865062.5</v>
      </c>
      <c r="C67" s="181">
        <v>13</v>
      </c>
      <c r="D67" s="6">
        <f>B67+C67</f>
        <v>6865075.5</v>
      </c>
      <c r="E67" s="20"/>
      <c r="F67" s="20"/>
      <c r="G67" s="20"/>
      <c r="H67" s="20"/>
      <c r="I67" s="20"/>
      <c r="J67" s="20"/>
      <c r="K67" s="20"/>
      <c r="L67" s="39"/>
      <c r="M67" s="17">
        <f t="shared" ref="M67:M76" si="14">D67+E67+F67+G67+H67+I67+J67+K67+L67</f>
        <v>6865075.5</v>
      </c>
      <c r="N67" s="102"/>
    </row>
    <row r="68" spans="1:14" x14ac:dyDescent="0.25">
      <c r="A68" s="4" t="s">
        <v>28</v>
      </c>
      <c r="B68" s="25">
        <f>'General Fund - Revenue'!V76</f>
        <v>3355865.4000000004</v>
      </c>
      <c r="C68" s="181"/>
      <c r="D68" s="6">
        <f t="shared" ref="D68:D76" si="15">B68+C68</f>
        <v>3355865.4000000004</v>
      </c>
      <c r="E68" s="20"/>
      <c r="F68" s="20"/>
      <c r="G68" s="20"/>
      <c r="H68" s="20"/>
      <c r="I68" s="20"/>
      <c r="J68" s="20"/>
      <c r="K68" s="20"/>
      <c r="L68" s="39"/>
      <c r="M68" s="17">
        <f t="shared" si="14"/>
        <v>3355865.4000000004</v>
      </c>
      <c r="N68" s="102"/>
    </row>
    <row r="69" spans="1:14" x14ac:dyDescent="0.25">
      <c r="A69" s="4" t="s">
        <v>29</v>
      </c>
      <c r="B69" s="25">
        <f>'General Fund - Revenue'!W76</f>
        <v>4405519.46</v>
      </c>
      <c r="C69" s="181"/>
      <c r="D69" s="6">
        <f t="shared" si="15"/>
        <v>4405519.46</v>
      </c>
      <c r="E69" s="20"/>
      <c r="F69" s="20"/>
      <c r="G69" s="20"/>
      <c r="H69" s="20"/>
      <c r="I69" s="20"/>
      <c r="J69" s="20"/>
      <c r="K69" s="20"/>
      <c r="L69" s="39"/>
      <c r="M69" s="17">
        <f t="shared" si="14"/>
        <v>4405519.46</v>
      </c>
      <c r="N69" s="102"/>
    </row>
    <row r="70" spans="1:14" x14ac:dyDescent="0.25">
      <c r="A70" s="4" t="s">
        <v>30</v>
      </c>
      <c r="B70" s="25">
        <f>'General Fund - Revenue'!X76</f>
        <v>457124.57</v>
      </c>
      <c r="C70" s="181"/>
      <c r="D70" s="6">
        <f t="shared" si="15"/>
        <v>457124.57</v>
      </c>
      <c r="E70" s="20"/>
      <c r="F70" s="20"/>
      <c r="G70" s="20"/>
      <c r="H70" s="20"/>
      <c r="I70" s="20"/>
      <c r="J70" s="20"/>
      <c r="K70" s="20"/>
      <c r="L70" s="39"/>
      <c r="M70" s="17">
        <f t="shared" si="14"/>
        <v>457124.57</v>
      </c>
      <c r="N70" s="102"/>
    </row>
    <row r="71" spans="1:14" x14ac:dyDescent="0.25">
      <c r="A71" s="4" t="s">
        <v>31</v>
      </c>
      <c r="B71" s="25">
        <f>'General Fund - Revenue'!Y76</f>
        <v>106092.83</v>
      </c>
      <c r="C71" s="181"/>
      <c r="D71" s="6">
        <f t="shared" si="15"/>
        <v>106092.83</v>
      </c>
      <c r="E71" s="20"/>
      <c r="F71" s="20"/>
      <c r="G71" s="20"/>
      <c r="H71" s="20"/>
      <c r="I71" s="20"/>
      <c r="J71" s="20"/>
      <c r="K71" s="20"/>
      <c r="L71" s="39"/>
      <c r="M71" s="17">
        <f t="shared" si="14"/>
        <v>106092.83</v>
      </c>
      <c r="N71" s="102"/>
    </row>
    <row r="72" spans="1:14" x14ac:dyDescent="0.25">
      <c r="A72" s="4" t="s">
        <v>63</v>
      </c>
      <c r="B72" s="25">
        <f>'General Fund - Revenue'!Z76</f>
        <v>446354.83</v>
      </c>
      <c r="C72" s="181"/>
      <c r="D72" s="6">
        <f>B72+C72</f>
        <v>446354.83</v>
      </c>
      <c r="E72" s="20">
        <v>185336.19</v>
      </c>
      <c r="F72" s="20"/>
      <c r="G72" s="20"/>
      <c r="H72" s="20"/>
      <c r="I72" s="20"/>
      <c r="J72" s="20"/>
      <c r="K72" s="20"/>
      <c r="L72" s="39"/>
      <c r="M72" s="17">
        <f t="shared" si="14"/>
        <v>631691.02</v>
      </c>
      <c r="N72" s="102"/>
    </row>
    <row r="73" spans="1:14" x14ac:dyDescent="0.25">
      <c r="A73" s="4" t="s">
        <v>244</v>
      </c>
      <c r="B73" s="25">
        <f>'General Fund - Revenue'!AA76</f>
        <v>307701.96999999997</v>
      </c>
      <c r="C73" s="181"/>
      <c r="D73" s="6">
        <f>B73+C73</f>
        <v>307701.96999999997</v>
      </c>
      <c r="E73" s="20"/>
      <c r="F73" s="20"/>
      <c r="G73" s="20"/>
      <c r="H73" s="20"/>
      <c r="I73" s="20"/>
      <c r="J73" s="20"/>
      <c r="K73" s="20"/>
      <c r="L73" s="39"/>
      <c r="M73" s="17">
        <f t="shared" si="14"/>
        <v>307701.96999999997</v>
      </c>
      <c r="N73" s="102"/>
    </row>
    <row r="74" spans="1:14" x14ac:dyDescent="0.25">
      <c r="A74" s="4" t="s">
        <v>202</v>
      </c>
      <c r="B74" s="25">
        <f>'General Fund - Revenue'!AB64</f>
        <v>0</v>
      </c>
      <c r="C74" s="181"/>
      <c r="D74" s="6">
        <f t="shared" si="15"/>
        <v>0</v>
      </c>
      <c r="E74" s="20"/>
      <c r="F74" s="20"/>
      <c r="G74" s="20"/>
      <c r="H74" s="20"/>
      <c r="I74" s="20"/>
      <c r="J74" s="20"/>
      <c r="K74" s="20"/>
      <c r="L74" s="39"/>
      <c r="M74" s="17">
        <f t="shared" si="14"/>
        <v>0</v>
      </c>
      <c r="N74" s="102"/>
    </row>
    <row r="75" spans="1:14" x14ac:dyDescent="0.25">
      <c r="A75" s="4" t="s">
        <v>149</v>
      </c>
      <c r="B75" s="25">
        <f>'General Fund - Revenue'!AC64</f>
        <v>0</v>
      </c>
      <c r="C75" s="181"/>
      <c r="D75" s="6">
        <f t="shared" si="15"/>
        <v>0</v>
      </c>
      <c r="E75" s="20"/>
      <c r="F75" s="20"/>
      <c r="G75" s="20"/>
      <c r="H75" s="20"/>
      <c r="I75" s="20"/>
      <c r="J75" s="20"/>
      <c r="K75" s="20"/>
      <c r="L75" s="39"/>
      <c r="M75" s="17">
        <f t="shared" si="14"/>
        <v>0</v>
      </c>
      <c r="N75" s="102"/>
    </row>
    <row r="76" spans="1:14" x14ac:dyDescent="0.25">
      <c r="A76" s="2" t="s">
        <v>32</v>
      </c>
      <c r="B76" s="6">
        <f>SUM(B67:B75)</f>
        <v>15943721.560000001</v>
      </c>
      <c r="C76" s="6">
        <f>SUM(C67:C75)</f>
        <v>13</v>
      </c>
      <c r="D76" s="6">
        <f t="shared" si="15"/>
        <v>15943734.560000001</v>
      </c>
      <c r="E76" s="6">
        <f t="shared" ref="E76:J76" si="16">SUM(E67:E75)</f>
        <v>185336.19</v>
      </c>
      <c r="F76" s="6">
        <f t="shared" si="16"/>
        <v>0</v>
      </c>
      <c r="G76" s="6">
        <f t="shared" si="16"/>
        <v>0</v>
      </c>
      <c r="H76" s="6">
        <f t="shared" si="16"/>
        <v>0</v>
      </c>
      <c r="I76" s="6">
        <f t="shared" si="16"/>
        <v>0</v>
      </c>
      <c r="J76" s="6">
        <f t="shared" si="16"/>
        <v>0</v>
      </c>
      <c r="K76" s="17">
        <f>SUM(K67:K75)</f>
        <v>0</v>
      </c>
      <c r="M76" s="17">
        <f t="shared" si="14"/>
        <v>16129070.75</v>
      </c>
      <c r="N76" s="102"/>
    </row>
    <row r="77" spans="1:14" x14ac:dyDescent="0.25">
      <c r="B77" s="6"/>
      <c r="D77" s="6"/>
      <c r="J77" s="6"/>
      <c r="M77" s="17"/>
      <c r="N77" s="102"/>
    </row>
    <row r="78" spans="1:14" x14ac:dyDescent="0.25">
      <c r="A78" s="2" t="s">
        <v>33</v>
      </c>
      <c r="B78" s="6">
        <f>B64-B76</f>
        <v>174334.04000000097</v>
      </c>
      <c r="C78" s="6">
        <f>C64-C76</f>
        <v>12796.39</v>
      </c>
      <c r="D78" s="6">
        <f>B78+C78</f>
        <v>187130.43000000098</v>
      </c>
      <c r="E78" s="6">
        <f t="shared" ref="E78:J78" si="17">E64-E76</f>
        <v>-180367.31</v>
      </c>
      <c r="F78" s="6">
        <f t="shared" si="17"/>
        <v>0</v>
      </c>
      <c r="G78" s="6">
        <f t="shared" si="17"/>
        <v>0</v>
      </c>
      <c r="H78" s="6">
        <f t="shared" si="17"/>
        <v>0</v>
      </c>
      <c r="I78" s="6">
        <f t="shared" si="17"/>
        <v>0</v>
      </c>
      <c r="J78" s="6">
        <f t="shared" si="17"/>
        <v>0</v>
      </c>
      <c r="K78" s="17">
        <f>K64-K76</f>
        <v>7895.17</v>
      </c>
      <c r="M78" s="17">
        <f>M64-M76</f>
        <v>14658.290000000969</v>
      </c>
      <c r="N78" s="102"/>
    </row>
    <row r="79" spans="1:14" x14ac:dyDescent="0.25">
      <c r="A79" s="2"/>
      <c r="B79" s="6"/>
      <c r="D79" s="6"/>
      <c r="J79" s="6"/>
      <c r="M79" s="17"/>
      <c r="N79" s="102"/>
    </row>
    <row r="80" spans="1:14" x14ac:dyDescent="0.25">
      <c r="A80" s="34" t="s">
        <v>300</v>
      </c>
      <c r="B80" s="75">
        <f>'General Fund - Revenue'!R64</f>
        <v>9448.61</v>
      </c>
      <c r="C80" s="20"/>
      <c r="D80" s="6">
        <f>B80+C80</f>
        <v>9448.61</v>
      </c>
      <c r="E80" s="20"/>
      <c r="F80" s="20"/>
      <c r="G80" s="20"/>
      <c r="H80" s="20"/>
      <c r="I80" s="20"/>
      <c r="J80" s="20"/>
      <c r="K80" s="20"/>
      <c r="L80" s="39"/>
      <c r="M80" s="17">
        <f>D80+E80+F80+G80+H80+I80+J80+K80+L80</f>
        <v>9448.61</v>
      </c>
      <c r="N80" s="102"/>
    </row>
    <row r="81" spans="1:14" x14ac:dyDescent="0.25">
      <c r="A81" t="s">
        <v>34</v>
      </c>
      <c r="B81" s="55">
        <f>'General Fund - Revenue'!AG76</f>
        <v>4011781.129999999</v>
      </c>
      <c r="C81" s="20"/>
      <c r="D81" s="6">
        <f>B81+C81</f>
        <v>4011781.129999999</v>
      </c>
      <c r="E81" s="20"/>
      <c r="F81" s="20"/>
      <c r="G81" s="20"/>
      <c r="H81" s="20"/>
      <c r="I81" s="20"/>
      <c r="J81" s="20"/>
      <c r="K81" s="20"/>
      <c r="L81" s="39"/>
      <c r="M81" s="17">
        <f>D81+E81+F81+G81+H81+I81+J81+K81+L81</f>
        <v>4011781.129999999</v>
      </c>
      <c r="N81" s="102"/>
    </row>
    <row r="82" spans="1:14" x14ac:dyDescent="0.25">
      <c r="A82" t="s">
        <v>35</v>
      </c>
      <c r="B82" s="55">
        <f>'General Fund - Revenue'!AH76</f>
        <v>2050249.9</v>
      </c>
      <c r="C82" s="20">
        <v>12809.39</v>
      </c>
      <c r="D82" s="6">
        <f>B82+C82</f>
        <v>2063059.2899999998</v>
      </c>
      <c r="E82" s="20">
        <f>2685336.19-185336.19</f>
        <v>2500000</v>
      </c>
      <c r="F82" s="20"/>
      <c r="G82" s="20"/>
      <c r="H82" s="20"/>
      <c r="I82" s="20"/>
      <c r="J82" s="20"/>
      <c r="K82" s="20">
        <v>7895.17</v>
      </c>
      <c r="L82" s="39"/>
      <c r="M82" s="17">
        <f>D82+E82+F82+G82+H82+I82+J82+K82+L82</f>
        <v>4570954.46</v>
      </c>
      <c r="N82" s="102"/>
    </row>
    <row r="83" spans="1:14" x14ac:dyDescent="0.25">
      <c r="A83" s="2" t="s">
        <v>36</v>
      </c>
      <c r="B83" s="6">
        <f>B80+B81-B82</f>
        <v>1970979.8399999989</v>
      </c>
      <c r="C83" s="6">
        <f>C80+C81-C82</f>
        <v>-12809.39</v>
      </c>
      <c r="D83" s="6">
        <f>B83+C83</f>
        <v>1958170.449999999</v>
      </c>
      <c r="E83" s="6">
        <f t="shared" ref="E83:J83" si="18">E80+E81-E82</f>
        <v>-2500000</v>
      </c>
      <c r="F83" s="6">
        <f t="shared" si="18"/>
        <v>0</v>
      </c>
      <c r="G83" s="6">
        <f t="shared" si="18"/>
        <v>0</v>
      </c>
      <c r="H83" s="6">
        <f t="shared" si="18"/>
        <v>0</v>
      </c>
      <c r="I83" s="6">
        <f t="shared" si="18"/>
        <v>0</v>
      </c>
      <c r="J83" s="6">
        <f t="shared" si="18"/>
        <v>0</v>
      </c>
      <c r="K83" s="17">
        <f>K81-K82</f>
        <v>-7895.17</v>
      </c>
      <c r="M83" s="17">
        <f>D83+E83+F83+G83+H83+I83+J83+K83+L83</f>
        <v>-549724.72000000102</v>
      </c>
      <c r="N83" s="102"/>
    </row>
    <row r="84" spans="1:14" x14ac:dyDescent="0.25">
      <c r="B84" s="6"/>
      <c r="D84" s="6"/>
      <c r="J84" s="6"/>
      <c r="M84" s="17"/>
      <c r="N84" s="102"/>
    </row>
    <row r="85" spans="1:14" x14ac:dyDescent="0.25">
      <c r="A85" s="2" t="s">
        <v>37</v>
      </c>
      <c r="B85" s="6">
        <f>B78+B83</f>
        <v>2145313.88</v>
      </c>
      <c r="C85" s="6">
        <f>C78+C83</f>
        <v>-13</v>
      </c>
      <c r="D85" s="6">
        <f>B85+C85</f>
        <v>2145300.88</v>
      </c>
      <c r="E85" s="6">
        <f t="shared" ref="E85:J85" si="19">E78+E83</f>
        <v>-2680367.31</v>
      </c>
      <c r="F85" s="6">
        <f t="shared" si="19"/>
        <v>0</v>
      </c>
      <c r="G85" s="6">
        <f t="shared" si="19"/>
        <v>0</v>
      </c>
      <c r="H85" s="6">
        <f t="shared" si="19"/>
        <v>0</v>
      </c>
      <c r="I85" s="6">
        <f t="shared" si="19"/>
        <v>0</v>
      </c>
      <c r="J85" s="6">
        <f t="shared" si="19"/>
        <v>0</v>
      </c>
      <c r="K85" s="17">
        <f>K78+K83</f>
        <v>0</v>
      </c>
      <c r="M85" s="17">
        <f>D85+E85+F85+G85+H85+I85+J85+K85+L85</f>
        <v>-535066.43000000017</v>
      </c>
      <c r="N85" s="102"/>
    </row>
    <row r="86" spans="1:14" x14ac:dyDescent="0.25">
      <c r="A86" t="s">
        <v>38</v>
      </c>
      <c r="B86" s="6">
        <f>B87-B85</f>
        <v>3326675.9400000004</v>
      </c>
      <c r="C86" s="6">
        <f>C87-C85</f>
        <v>294709</v>
      </c>
      <c r="D86" s="6">
        <f>B86+C86</f>
        <v>3621384.9400000004</v>
      </c>
      <c r="E86" s="6">
        <f t="shared" ref="E86:J86" si="20">E87-E85</f>
        <v>3911467.3600000003</v>
      </c>
      <c r="F86" s="6">
        <f t="shared" si="20"/>
        <v>0</v>
      </c>
      <c r="G86" s="6">
        <f t="shared" si="20"/>
        <v>0</v>
      </c>
      <c r="H86" s="6">
        <f t="shared" si="20"/>
        <v>0</v>
      </c>
      <c r="I86" s="6">
        <f t="shared" si="20"/>
        <v>0</v>
      </c>
      <c r="J86" s="6">
        <f t="shared" si="20"/>
        <v>0</v>
      </c>
      <c r="K86" s="17">
        <f>K87-K85</f>
        <v>3510.42</v>
      </c>
      <c r="M86" s="17">
        <f>D86+E86+F86+G86+H86+I86+J86+K86+L86</f>
        <v>7536362.7200000007</v>
      </c>
      <c r="N86" s="102"/>
    </row>
    <row r="87" spans="1:14" x14ac:dyDescent="0.25">
      <c r="A87" s="2" t="s">
        <v>39</v>
      </c>
      <c r="B87" s="6">
        <f>B51</f>
        <v>5471989.8200000003</v>
      </c>
      <c r="C87" s="6">
        <f>C51</f>
        <v>294696</v>
      </c>
      <c r="D87" s="6">
        <f>B87+C87</f>
        <v>5766685.8200000003</v>
      </c>
      <c r="E87" s="6">
        <f>E33</f>
        <v>1231100.05</v>
      </c>
      <c r="F87" s="6">
        <f>F50</f>
        <v>0</v>
      </c>
      <c r="G87" s="6">
        <f>G50</f>
        <v>0</v>
      </c>
      <c r="H87" s="6">
        <f>H50</f>
        <v>0</v>
      </c>
      <c r="I87" s="6">
        <f>I50</f>
        <v>0</v>
      </c>
      <c r="J87" s="6">
        <f>J50</f>
        <v>0</v>
      </c>
      <c r="K87" s="17">
        <f>K51</f>
        <v>3510.42</v>
      </c>
      <c r="M87" s="17">
        <f>D87+E87+F87+G87+H87+I87+J87+K87+L87</f>
        <v>7001296.29</v>
      </c>
      <c r="N87" s="102"/>
    </row>
    <row r="88" spans="1:14" x14ac:dyDescent="0.25">
      <c r="N88" s="104"/>
    </row>
    <row r="89" spans="1:14" x14ac:dyDescent="0.25">
      <c r="N89" s="104"/>
    </row>
    <row r="90" spans="1:14" x14ac:dyDescent="0.25">
      <c r="N90" s="104"/>
    </row>
    <row r="91" spans="1:14" x14ac:dyDescent="0.25">
      <c r="N91" s="104"/>
    </row>
    <row r="92" spans="1:14" x14ac:dyDescent="0.25">
      <c r="N92" s="104"/>
    </row>
    <row r="93" spans="1:14" x14ac:dyDescent="0.25">
      <c r="N93" s="104"/>
    </row>
    <row r="94" spans="1:14" x14ac:dyDescent="0.25">
      <c r="N94" s="104"/>
    </row>
    <row r="95" spans="1:14" x14ac:dyDescent="0.25">
      <c r="N95" s="104"/>
    </row>
    <row r="96" spans="1:14" x14ac:dyDescent="0.25">
      <c r="N96" s="104"/>
    </row>
    <row r="97" spans="3:14" x14ac:dyDescent="0.25">
      <c r="N97" s="104"/>
    </row>
    <row r="107" spans="3:14" x14ac:dyDescent="0.25">
      <c r="C107"/>
    </row>
    <row r="108" spans="3:14" x14ac:dyDescent="0.25">
      <c r="C108"/>
    </row>
    <row r="109" spans="3:14" x14ac:dyDescent="0.25">
      <c r="C109"/>
    </row>
  </sheetData>
  <customSheetViews>
    <customSheetView guid="{E68B3865-8D72-47E7-BE32-0FF7EB09E889}" fitToPage="1">
      <pane xSplit="1" ySplit="5" topLeftCell="B75" activePane="bottomRight" state="frozen"/>
      <selection pane="bottomRight" activeCell="B64" sqref="B64"/>
      <pageMargins left="0.7" right="0.7" top="0.75" bottom="0.75" header="0.3" footer="0.3"/>
      <pageSetup scale="34" orientation="portrait" r:id="rId1"/>
    </customSheetView>
    <customSheetView guid="{DE6E911D-85BF-467A-AA00-1E84C5349CF7}" fitToPage="1">
      <pane xSplit="1" ySplit="5" topLeftCell="B44" activePane="bottomRight" state="frozen"/>
      <selection pane="bottomRight" activeCell="B67" sqref="B67"/>
      <pageMargins left="0.7" right="0.7" top="0.75" bottom="0.75" header="0.3" footer="0.3"/>
      <pageSetup scale="34" orientation="portrait" r:id="rId2"/>
    </customSheetView>
    <customSheetView guid="{A6F79E61-D6A3-44FD-B4A4-4724DF74349B}" showPageBreaks="1" fitToPage="1">
      <pane xSplit="1" ySplit="5" topLeftCell="B9" activePane="bottomRight" state="frozen"/>
      <selection pane="bottomRight" activeCell="B25" sqref="B25"/>
      <pageMargins left="0.7" right="0.7" top="0.75" bottom="0.75" header="0.3" footer="0.3"/>
      <pageSetup scale="39" orientation="landscape" horizontalDpi="1200" r:id="rId3"/>
    </customSheetView>
    <customSheetView guid="{D62C3EC3-27D1-41F3-9A4E-06307CA202CE}" showPageBreaks="1" fitToPage="1" showRuler="0">
      <pane xSplit="1" ySplit="5" topLeftCell="B6" activePane="bottomRight" state="frozen"/>
      <selection pane="bottomRight" activeCell="B40" sqref="B40"/>
      <pageMargins left="0.7" right="0.7" top="0.75" bottom="0.75" header="0.3" footer="0.3"/>
      <pageSetup scale="56" orientation="portrait" horizontalDpi="1200" r:id="rId4"/>
      <headerFooter alignWithMargins="0"/>
    </customSheetView>
    <customSheetView guid="{EC03C3C8-7E57-47C6-8413-F484E8C46A0C}" showPageBreaks="1" fitToPage="1">
      <pane xSplit="1" ySplit="5" topLeftCell="B48" activePane="bottomRight" state="frozen"/>
      <selection pane="bottomRight" activeCell="C54" sqref="C54"/>
      <pageMargins left="0.7" right="0.7" top="0.75" bottom="0.75" header="0.3" footer="0.3"/>
      <pageSetup scale="56" orientation="portrait" horizontalDpi="1200" r:id="rId5"/>
    </customSheetView>
    <customSheetView guid="{2B2709E2-6DF4-4CC4-88D0-056FB306137C}" fitToPage="1">
      <pane xSplit="1" ySplit="5" topLeftCell="B33" activePane="bottomRight" state="frozen"/>
      <selection pane="bottomRight" activeCell="B55" sqref="B55"/>
      <pageMargins left="0.7" right="0.7" top="0.75" bottom="0.75" header="0.3" footer="0.3"/>
      <pageSetup scale="56" orientation="portrait" horizontalDpi="1200" r:id="rId6"/>
    </customSheetView>
  </customSheetViews>
  <phoneticPr fontId="0" type="noConversion"/>
  <pageMargins left="0.7" right="0.7" top="0.75" bottom="0.75" header="0.3" footer="0.3"/>
  <pageSetup scale="34" orientation="portrait" r:id="rId7"/>
  <legacy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1"/>
  <sheetViews>
    <sheetView zoomScale="80" zoomScaleNormal="80" workbookViewId="0">
      <pane xSplit="2" ySplit="6" topLeftCell="C46" activePane="bottomRight" state="frozen"/>
      <selection pane="topRight" activeCell="C1" sqref="C1"/>
      <selection pane="bottomLeft" activeCell="A7" sqref="A7"/>
      <selection pane="bottomRight" activeCell="B72" sqref="B72"/>
    </sheetView>
  </sheetViews>
  <sheetFormatPr defaultRowHeight="15" x14ac:dyDescent="0.25"/>
  <cols>
    <col min="1" max="1" width="30.5703125" customWidth="1"/>
    <col min="2" max="2" width="10.5703125" customWidth="1"/>
    <col min="3" max="3" width="13.85546875" style="9" bestFit="1" customWidth="1"/>
    <col min="4" max="6" width="14.85546875" style="9" bestFit="1" customWidth="1"/>
    <col min="7" max="10" width="13.85546875" style="9" customWidth="1"/>
    <col min="11" max="11" width="12" style="9" bestFit="1" customWidth="1"/>
    <col min="12" max="13" width="13.5703125" style="9" bestFit="1" customWidth="1"/>
    <col min="14" max="14" width="12" style="9" bestFit="1" customWidth="1"/>
    <col min="15" max="15" width="11.42578125" style="9" customWidth="1"/>
    <col min="16" max="16" width="14" style="9" customWidth="1"/>
    <col min="17" max="17" width="13.85546875" style="9" bestFit="1" customWidth="1"/>
    <col min="18" max="18" width="13.85546875" style="9" customWidth="1"/>
    <col min="19" max="19" width="14.85546875" style="9" bestFit="1" customWidth="1"/>
    <col min="20" max="20" width="13.85546875" style="9" bestFit="1" customWidth="1"/>
    <col min="21" max="21" width="14.85546875" style="9" bestFit="1" customWidth="1"/>
    <col min="22" max="23" width="13.5703125" style="9" bestFit="1" customWidth="1"/>
    <col min="24" max="24" width="12.7109375" style="9" bestFit="1" customWidth="1"/>
    <col min="25" max="25" width="12" style="9" bestFit="1" customWidth="1"/>
    <col min="26" max="27" width="14.42578125" style="9" customWidth="1"/>
    <col min="28" max="28" width="9.140625" style="9"/>
    <col min="29" max="29" width="11.140625" style="9" bestFit="1" customWidth="1"/>
    <col min="30" max="30" width="14.85546875" style="9" bestFit="1" customWidth="1"/>
    <col min="31" max="31" width="13.85546875" style="9" bestFit="1" customWidth="1"/>
    <col min="32" max="32" width="14.85546875" style="9" bestFit="1" customWidth="1"/>
    <col min="33" max="33" width="13.5703125" style="9" bestFit="1" customWidth="1"/>
    <col min="34" max="34" width="15.7109375" style="9" customWidth="1"/>
    <col min="35" max="35" width="15.5703125" bestFit="1" customWidth="1"/>
    <col min="36" max="36" width="14.140625" bestFit="1" customWidth="1"/>
    <col min="37" max="37" width="14.42578125" customWidth="1"/>
    <col min="38" max="38" width="14.85546875" bestFit="1" customWidth="1"/>
  </cols>
  <sheetData>
    <row r="1" spans="1:35" ht="21" x14ac:dyDescent="0.35">
      <c r="A1" s="13" t="s">
        <v>376</v>
      </c>
      <c r="B1" s="13"/>
    </row>
    <row r="2" spans="1:35" ht="21" x14ac:dyDescent="0.35">
      <c r="A2" s="13" t="s">
        <v>110</v>
      </c>
      <c r="B2" s="13"/>
    </row>
    <row r="3" spans="1:35" ht="21" x14ac:dyDescent="0.35">
      <c r="A3" s="30">
        <f>'ALL GOVERNMENT FUNDS'!A3</f>
        <v>43830</v>
      </c>
      <c r="B3" s="30"/>
    </row>
    <row r="4" spans="1:35" x14ac:dyDescent="0.25">
      <c r="E4" s="59"/>
      <c r="F4" s="58" t="s">
        <v>316</v>
      </c>
    </row>
    <row r="5" spans="1:35" ht="21" x14ac:dyDescent="0.35">
      <c r="C5" s="12" t="s">
        <v>112</v>
      </c>
      <c r="D5" s="12"/>
      <c r="E5" s="12"/>
      <c r="F5" s="12"/>
      <c r="G5" s="12"/>
      <c r="H5" s="12"/>
      <c r="I5" s="12"/>
      <c r="J5" s="101" t="s">
        <v>393</v>
      </c>
      <c r="U5" s="12" t="s">
        <v>119</v>
      </c>
    </row>
    <row r="6" spans="1:35" s="2" customFormat="1" ht="45" x14ac:dyDescent="0.25">
      <c r="A6" s="2" t="s">
        <v>111</v>
      </c>
      <c r="B6" s="2" t="s">
        <v>306</v>
      </c>
      <c r="C6" s="10" t="s">
        <v>20</v>
      </c>
      <c r="D6" s="10" t="s">
        <v>215</v>
      </c>
      <c r="E6" s="174" t="s">
        <v>212</v>
      </c>
      <c r="F6" s="174" t="s">
        <v>216</v>
      </c>
      <c r="G6" s="174" t="s">
        <v>213</v>
      </c>
      <c r="H6" s="174" t="s">
        <v>214</v>
      </c>
      <c r="I6" s="174" t="s">
        <v>218</v>
      </c>
      <c r="J6" s="174" t="s">
        <v>217</v>
      </c>
      <c r="K6" s="175" t="s">
        <v>24</v>
      </c>
      <c r="L6" s="175" t="s">
        <v>114</v>
      </c>
      <c r="M6" s="174" t="s">
        <v>115</v>
      </c>
      <c r="N6" s="174" t="s">
        <v>116</v>
      </c>
      <c r="O6" s="174" t="s">
        <v>23</v>
      </c>
      <c r="P6" s="10" t="s">
        <v>307</v>
      </c>
      <c r="Q6" s="10" t="s">
        <v>113</v>
      </c>
      <c r="R6" s="10" t="s">
        <v>495</v>
      </c>
      <c r="S6" s="10" t="s">
        <v>118</v>
      </c>
      <c r="T6" s="11"/>
      <c r="U6" s="10" t="s">
        <v>120</v>
      </c>
      <c r="V6" s="10" t="s">
        <v>121</v>
      </c>
      <c r="W6" s="10" t="s">
        <v>122</v>
      </c>
      <c r="X6" s="10" t="s">
        <v>123</v>
      </c>
      <c r="Y6" s="10" t="s">
        <v>31</v>
      </c>
      <c r="Z6" s="10" t="s">
        <v>124</v>
      </c>
      <c r="AA6" s="10" t="s">
        <v>228</v>
      </c>
      <c r="AB6" s="10" t="s">
        <v>125</v>
      </c>
      <c r="AC6" s="10" t="s">
        <v>126</v>
      </c>
      <c r="AD6" s="10" t="s">
        <v>127</v>
      </c>
      <c r="AE6" s="11"/>
      <c r="AF6" s="10" t="s">
        <v>128</v>
      </c>
      <c r="AG6" s="10" t="s">
        <v>129</v>
      </c>
      <c r="AH6" s="10" t="s">
        <v>130</v>
      </c>
      <c r="AI6" s="2" t="s">
        <v>83</v>
      </c>
    </row>
    <row r="7" spans="1:35" x14ac:dyDescent="0.25">
      <c r="A7" t="s">
        <v>131</v>
      </c>
      <c r="B7">
        <v>1100</v>
      </c>
      <c r="D7" s="9">
        <f>SUM(E7:Q7)</f>
        <v>19027.260000000002</v>
      </c>
      <c r="E7" s="182">
        <v>-1187.82</v>
      </c>
      <c r="F7" s="182"/>
      <c r="G7" s="183">
        <f>0.35+12.98</f>
        <v>13.33</v>
      </c>
      <c r="H7" s="182"/>
      <c r="I7" s="184"/>
      <c r="J7" s="185"/>
      <c r="K7" s="185"/>
      <c r="L7" s="184">
        <v>5150.8100000000004</v>
      </c>
      <c r="M7" s="185">
        <v>12478.06</v>
      </c>
      <c r="N7" s="185"/>
      <c r="O7" s="185">
        <v>2392.88</v>
      </c>
      <c r="P7" s="185"/>
      <c r="Q7" s="185">
        <v>180</v>
      </c>
      <c r="R7" s="185"/>
      <c r="S7" s="31">
        <f>SUM(E7:R7)</f>
        <v>19027.260000000002</v>
      </c>
      <c r="U7" s="185">
        <v>16070.07</v>
      </c>
      <c r="V7" s="72"/>
      <c r="W7" s="72"/>
      <c r="X7" s="72"/>
      <c r="Y7" s="72"/>
      <c r="Z7" s="72"/>
      <c r="AA7" s="72"/>
      <c r="AB7" s="72"/>
      <c r="AC7" s="72"/>
      <c r="AD7" s="9">
        <f>SUM(U7:AC7)</f>
        <v>16070.07</v>
      </c>
      <c r="AF7" s="9">
        <f>S7-AD7</f>
        <v>2957.1900000000023</v>
      </c>
      <c r="AG7" s="185"/>
      <c r="AH7" s="185"/>
      <c r="AI7" s="6">
        <f>AF7+AG7-AH7</f>
        <v>2957.1900000000023</v>
      </c>
    </row>
    <row r="8" spans="1:35" x14ac:dyDescent="0.25">
      <c r="A8" t="s">
        <v>132</v>
      </c>
      <c r="B8">
        <v>1105</v>
      </c>
      <c r="D8" s="9">
        <f>SUM(E8:Q8)</f>
        <v>11664527.549999999</v>
      </c>
      <c r="E8" s="183">
        <f>10037403.52-881.55+371793.41+839890.39+54655.06+162750.07</f>
        <v>11465610.9</v>
      </c>
      <c r="F8" s="182"/>
      <c r="G8" s="186">
        <f>118232.6+29715.34</f>
        <v>147947.94</v>
      </c>
      <c r="H8" s="182"/>
      <c r="I8" s="184"/>
      <c r="J8" s="185"/>
      <c r="K8" s="185"/>
      <c r="L8" s="184">
        <v>9677.86</v>
      </c>
      <c r="M8" s="185">
        <v>32088.48</v>
      </c>
      <c r="N8" s="185"/>
      <c r="O8" s="185">
        <v>9202.3700000000008</v>
      </c>
      <c r="P8" s="185"/>
      <c r="Q8" s="185"/>
      <c r="R8" s="185">
        <v>9448.61</v>
      </c>
      <c r="S8" s="31">
        <f t="shared" ref="S8:S63" si="0">SUM(E8:R8)</f>
        <v>11673976.159999998</v>
      </c>
      <c r="U8" s="185">
        <v>-44017.74</v>
      </c>
      <c r="V8" s="72"/>
      <c r="W8" s="72"/>
      <c r="X8" s="72"/>
      <c r="Y8" s="72"/>
      <c r="Z8" s="72"/>
      <c r="AA8" s="72"/>
      <c r="AB8" s="72"/>
      <c r="AC8" s="72"/>
      <c r="AD8" s="9">
        <f t="shared" ref="AD8:AD63" si="1">SUM(U8:AC8)</f>
        <v>-44017.74</v>
      </c>
      <c r="AF8" s="9">
        <f t="shared" ref="AF8:AF63" si="2">S8-AD8</f>
        <v>11717993.899999999</v>
      </c>
      <c r="AG8" s="185">
        <v>2891169.51</v>
      </c>
      <c r="AH8" s="185"/>
      <c r="AI8" s="6">
        <f t="shared" ref="AI8:AI63" si="3">AF8+AG8-AH8</f>
        <v>14609163.409999998</v>
      </c>
    </row>
    <row r="9" spans="1:35" x14ac:dyDescent="0.25">
      <c r="A9" t="s">
        <v>133</v>
      </c>
      <c r="B9">
        <v>1135</v>
      </c>
      <c r="D9" s="9">
        <f t="shared" ref="D9:D63" si="4">SUM(E9:Q9)</f>
        <v>10000</v>
      </c>
      <c r="E9" s="182"/>
      <c r="F9" s="182"/>
      <c r="G9" s="182"/>
      <c r="H9" s="182"/>
      <c r="I9" s="184"/>
      <c r="J9" s="185"/>
      <c r="K9" s="185"/>
      <c r="L9" s="184"/>
      <c r="M9" s="185">
        <v>10000</v>
      </c>
      <c r="N9" s="185"/>
      <c r="O9" s="185"/>
      <c r="P9" s="185"/>
      <c r="Q9" s="185"/>
      <c r="R9" s="185"/>
      <c r="S9" s="31">
        <f t="shared" si="0"/>
        <v>10000</v>
      </c>
      <c r="U9" s="185">
        <v>482146.52</v>
      </c>
      <c r="V9" s="72"/>
      <c r="W9" s="72"/>
      <c r="X9" s="72"/>
      <c r="Y9" s="72"/>
      <c r="Z9" s="72"/>
      <c r="AA9" s="72"/>
      <c r="AB9" s="72"/>
      <c r="AC9" s="72"/>
      <c r="AD9" s="9">
        <f t="shared" si="1"/>
        <v>482146.52</v>
      </c>
      <c r="AF9" s="9">
        <f t="shared" si="2"/>
        <v>-472146.52</v>
      </c>
      <c r="AG9" s="185">
        <v>269878.02</v>
      </c>
      <c r="AH9" s="185"/>
      <c r="AI9" s="6">
        <f t="shared" si="3"/>
        <v>-202268.5</v>
      </c>
    </row>
    <row r="10" spans="1:35" x14ac:dyDescent="0.25">
      <c r="A10" t="s">
        <v>134</v>
      </c>
      <c r="B10">
        <v>1140</v>
      </c>
      <c r="D10" s="9">
        <f>SUM(E10:Q10)</f>
        <v>570610.30000000005</v>
      </c>
      <c r="E10" s="182"/>
      <c r="F10" s="182"/>
      <c r="G10" s="182"/>
      <c r="H10" s="182"/>
      <c r="I10" s="184"/>
      <c r="J10" s="185"/>
      <c r="K10" s="185"/>
      <c r="L10" s="184"/>
      <c r="M10" s="185">
        <v>567144.06000000006</v>
      </c>
      <c r="N10" s="185"/>
      <c r="O10" s="185">
        <v>1599.74</v>
      </c>
      <c r="P10" s="185">
        <v>1866.5</v>
      </c>
      <c r="Q10" s="185"/>
      <c r="R10" s="185"/>
      <c r="S10" s="31">
        <f t="shared" si="0"/>
        <v>570610.30000000005</v>
      </c>
      <c r="U10" s="185">
        <v>224580.78</v>
      </c>
      <c r="V10" s="72"/>
      <c r="W10" s="72"/>
      <c r="X10" s="72"/>
      <c r="Y10" s="72"/>
      <c r="Z10" s="72"/>
      <c r="AA10" s="72"/>
      <c r="AB10" s="72"/>
      <c r="AC10" s="72"/>
      <c r="AD10" s="9">
        <f t="shared" si="1"/>
        <v>224580.78</v>
      </c>
      <c r="AF10" s="9">
        <f t="shared" si="2"/>
        <v>346029.52</v>
      </c>
      <c r="AG10" s="185"/>
      <c r="AH10" s="185"/>
      <c r="AI10" s="6">
        <f t="shared" si="3"/>
        <v>346029.52</v>
      </c>
    </row>
    <row r="11" spans="1:35" x14ac:dyDescent="0.25">
      <c r="A11" t="s">
        <v>135</v>
      </c>
      <c r="B11">
        <v>1145</v>
      </c>
      <c r="D11" s="9">
        <f t="shared" si="4"/>
        <v>13983.09</v>
      </c>
      <c r="E11" s="182"/>
      <c r="F11" s="182"/>
      <c r="G11" s="182"/>
      <c r="H11" s="182"/>
      <c r="I11" s="184"/>
      <c r="J11" s="185"/>
      <c r="K11" s="185"/>
      <c r="L11" s="184"/>
      <c r="M11" s="185">
        <v>13983.09</v>
      </c>
      <c r="N11" s="185"/>
      <c r="O11" s="185"/>
      <c r="P11" s="185"/>
      <c r="Q11" s="185"/>
      <c r="R11" s="185"/>
      <c r="S11" s="31">
        <f t="shared" si="0"/>
        <v>13983.09</v>
      </c>
      <c r="U11" s="185">
        <v>372632.43</v>
      </c>
      <c r="V11" s="72"/>
      <c r="W11" s="72"/>
      <c r="X11" s="72"/>
      <c r="Y11" s="72"/>
      <c r="Z11" s="72"/>
      <c r="AA11" s="72"/>
      <c r="AB11" s="72"/>
      <c r="AC11" s="72"/>
      <c r="AD11" s="9">
        <f t="shared" si="1"/>
        <v>372632.43</v>
      </c>
      <c r="AF11" s="9">
        <f t="shared" si="2"/>
        <v>-358649.33999999997</v>
      </c>
      <c r="AG11" s="185"/>
      <c r="AH11" s="185"/>
      <c r="AI11" s="6">
        <f t="shared" si="3"/>
        <v>-358649.33999999997</v>
      </c>
    </row>
    <row r="12" spans="1:35" x14ac:dyDescent="0.25">
      <c r="A12" t="s">
        <v>136</v>
      </c>
      <c r="B12">
        <v>1152</v>
      </c>
      <c r="D12" s="9">
        <f t="shared" si="4"/>
        <v>0</v>
      </c>
      <c r="E12" s="182"/>
      <c r="F12" s="182"/>
      <c r="G12" s="182"/>
      <c r="H12" s="182"/>
      <c r="I12" s="184"/>
      <c r="J12" s="185"/>
      <c r="K12" s="185"/>
      <c r="L12" s="184"/>
      <c r="M12" s="185"/>
      <c r="N12" s="185"/>
      <c r="O12" s="185"/>
      <c r="P12" s="185"/>
      <c r="Q12" s="185"/>
      <c r="R12" s="185"/>
      <c r="S12" s="31">
        <f t="shared" si="0"/>
        <v>0</v>
      </c>
      <c r="U12" s="185">
        <v>22502.63</v>
      </c>
      <c r="V12" s="72"/>
      <c r="W12" s="72"/>
      <c r="X12" s="72"/>
      <c r="Y12" s="72"/>
      <c r="Z12" s="72"/>
      <c r="AA12" s="72"/>
      <c r="AB12" s="72"/>
      <c r="AC12" s="72"/>
      <c r="AD12" s="9">
        <f t="shared" si="1"/>
        <v>22502.63</v>
      </c>
      <c r="AF12" s="9">
        <f t="shared" si="2"/>
        <v>-22502.63</v>
      </c>
      <c r="AG12" s="185"/>
      <c r="AH12" s="185"/>
      <c r="AI12" s="6">
        <f t="shared" si="3"/>
        <v>-22502.63</v>
      </c>
    </row>
    <row r="13" spans="1:35" x14ac:dyDescent="0.25">
      <c r="A13" t="s">
        <v>137</v>
      </c>
      <c r="B13">
        <v>1155</v>
      </c>
      <c r="D13" s="9">
        <f t="shared" si="4"/>
        <v>0</v>
      </c>
      <c r="E13" s="182"/>
      <c r="F13" s="182"/>
      <c r="G13" s="182"/>
      <c r="H13" s="182"/>
      <c r="I13" s="184"/>
      <c r="J13" s="185"/>
      <c r="K13" s="185"/>
      <c r="L13" s="184"/>
      <c r="M13" s="185"/>
      <c r="N13" s="185"/>
      <c r="O13" s="185"/>
      <c r="P13" s="185"/>
      <c r="Q13" s="185"/>
      <c r="R13" s="185"/>
      <c r="S13" s="31">
        <f t="shared" si="0"/>
        <v>0</v>
      </c>
      <c r="U13" s="185">
        <v>424299.25</v>
      </c>
      <c r="V13" s="72"/>
      <c r="W13" s="72"/>
      <c r="X13" s="72"/>
      <c r="Y13" s="72"/>
      <c r="Z13" s="72"/>
      <c r="AA13" s="72"/>
      <c r="AB13" s="72"/>
      <c r="AC13" s="72"/>
      <c r="AD13" s="9">
        <f t="shared" si="1"/>
        <v>424299.25</v>
      </c>
      <c r="AF13" s="9">
        <f t="shared" si="2"/>
        <v>-424299.25</v>
      </c>
      <c r="AG13" s="185">
        <v>221610.9</v>
      </c>
      <c r="AH13" s="185"/>
      <c r="AI13" s="6">
        <f t="shared" si="3"/>
        <v>-202688.35</v>
      </c>
    </row>
    <row r="14" spans="1:35" x14ac:dyDescent="0.25">
      <c r="A14" t="s">
        <v>138</v>
      </c>
      <c r="B14">
        <v>1160</v>
      </c>
      <c r="D14" s="9">
        <f t="shared" si="4"/>
        <v>-1500</v>
      </c>
      <c r="E14" s="182"/>
      <c r="F14" s="182"/>
      <c r="G14" s="182"/>
      <c r="H14" s="182"/>
      <c r="I14" s="184"/>
      <c r="J14" s="185"/>
      <c r="K14" s="185"/>
      <c r="L14" s="184"/>
      <c r="M14" s="185">
        <v>-1500</v>
      </c>
      <c r="N14" s="185"/>
      <c r="O14" s="185"/>
      <c r="P14" s="185"/>
      <c r="Q14" s="185"/>
      <c r="R14" s="185"/>
      <c r="S14" s="31">
        <f t="shared" si="0"/>
        <v>-1500</v>
      </c>
      <c r="U14" s="185">
        <v>428460.37</v>
      </c>
      <c r="V14" s="72"/>
      <c r="W14" s="72"/>
      <c r="X14" s="72"/>
      <c r="Y14" s="72"/>
      <c r="Z14" s="72"/>
      <c r="AA14" s="72"/>
      <c r="AB14" s="72"/>
      <c r="AC14" s="72"/>
      <c r="AD14" s="9">
        <f t="shared" si="1"/>
        <v>428460.37</v>
      </c>
      <c r="AF14" s="9">
        <f t="shared" si="2"/>
        <v>-429960.37</v>
      </c>
      <c r="AG14" s="185">
        <v>133779.32</v>
      </c>
      <c r="AH14" s="185"/>
      <c r="AI14" s="6">
        <f t="shared" si="3"/>
        <v>-296181.05</v>
      </c>
    </row>
    <row r="15" spans="1:35" x14ac:dyDescent="0.25">
      <c r="A15" t="s">
        <v>139</v>
      </c>
      <c r="B15">
        <v>1162</v>
      </c>
      <c r="D15" s="9">
        <f t="shared" si="4"/>
        <v>11394.75</v>
      </c>
      <c r="E15" s="182"/>
      <c r="F15" s="182"/>
      <c r="G15" s="182"/>
      <c r="H15" s="182"/>
      <c r="I15" s="184"/>
      <c r="J15" s="185"/>
      <c r="K15" s="185"/>
      <c r="L15" s="184">
        <v>11394.75</v>
      </c>
      <c r="M15" s="185"/>
      <c r="N15" s="185"/>
      <c r="O15" s="185"/>
      <c r="P15" s="185"/>
      <c r="Q15" s="185"/>
      <c r="R15" s="185"/>
      <c r="S15" s="31">
        <f t="shared" si="0"/>
        <v>11394.75</v>
      </c>
      <c r="U15" s="185">
        <v>332665.19</v>
      </c>
      <c r="V15" s="72"/>
      <c r="W15" s="72"/>
      <c r="X15" s="72"/>
      <c r="Y15" s="72"/>
      <c r="Z15" s="72"/>
      <c r="AA15" s="72"/>
      <c r="AB15" s="72"/>
      <c r="AC15" s="72"/>
      <c r="AD15" s="9">
        <f t="shared" si="1"/>
        <v>332665.19</v>
      </c>
      <c r="AF15" s="9">
        <f t="shared" si="2"/>
        <v>-321270.44</v>
      </c>
      <c r="AG15" s="185"/>
      <c r="AH15" s="185"/>
      <c r="AI15" s="6">
        <f t="shared" si="3"/>
        <v>-321270.44</v>
      </c>
    </row>
    <row r="16" spans="1:35" x14ac:dyDescent="0.25">
      <c r="A16" t="s">
        <v>140</v>
      </c>
      <c r="B16">
        <v>1164</v>
      </c>
      <c r="D16" s="9">
        <f t="shared" si="4"/>
        <v>0</v>
      </c>
      <c r="E16" s="182"/>
      <c r="F16" s="182"/>
      <c r="G16" s="182"/>
      <c r="H16" s="182"/>
      <c r="I16" s="184"/>
      <c r="J16" s="185"/>
      <c r="K16" s="185"/>
      <c r="L16" s="184"/>
      <c r="M16" s="185"/>
      <c r="N16" s="185"/>
      <c r="O16" s="185"/>
      <c r="P16" s="185"/>
      <c r="Q16" s="185"/>
      <c r="R16" s="185"/>
      <c r="S16" s="31">
        <f t="shared" si="0"/>
        <v>0</v>
      </c>
      <c r="U16" s="185">
        <v>71745.69</v>
      </c>
      <c r="V16" s="72"/>
      <c r="W16" s="72"/>
      <c r="X16" s="72"/>
      <c r="Y16" s="72"/>
      <c r="Z16" s="72"/>
      <c r="AA16" s="72"/>
      <c r="AB16" s="72"/>
      <c r="AC16" s="72"/>
      <c r="AD16" s="9">
        <f t="shared" si="1"/>
        <v>71745.69</v>
      </c>
      <c r="AF16" s="9">
        <f t="shared" si="2"/>
        <v>-71745.69</v>
      </c>
      <c r="AG16" s="185"/>
      <c r="AH16" s="185"/>
      <c r="AI16" s="6">
        <f t="shared" si="3"/>
        <v>-71745.69</v>
      </c>
    </row>
    <row r="17" spans="1:35" s="32" customFormat="1" x14ac:dyDescent="0.25">
      <c r="A17" s="32" t="s">
        <v>298</v>
      </c>
      <c r="B17" s="32">
        <v>1166</v>
      </c>
      <c r="C17" s="31"/>
      <c r="D17" s="31">
        <f t="shared" si="4"/>
        <v>0</v>
      </c>
      <c r="E17" s="182"/>
      <c r="F17" s="182"/>
      <c r="G17" s="182"/>
      <c r="H17" s="182"/>
      <c r="I17" s="184"/>
      <c r="J17" s="185"/>
      <c r="K17" s="185"/>
      <c r="L17" s="184"/>
      <c r="M17" s="185"/>
      <c r="N17" s="185"/>
      <c r="O17" s="185"/>
      <c r="P17" s="185"/>
      <c r="Q17" s="185"/>
      <c r="R17" s="185"/>
      <c r="S17" s="31">
        <f t="shared" si="0"/>
        <v>0</v>
      </c>
      <c r="T17" s="31"/>
      <c r="U17" s="185">
        <v>2217.5300000000002</v>
      </c>
      <c r="V17" s="72"/>
      <c r="W17" s="72"/>
      <c r="X17" s="72"/>
      <c r="Y17" s="72"/>
      <c r="Z17" s="72"/>
      <c r="AA17" s="72"/>
      <c r="AB17" s="72"/>
      <c r="AC17" s="72"/>
      <c r="AD17" s="31">
        <f t="shared" si="1"/>
        <v>2217.5300000000002</v>
      </c>
      <c r="AE17" s="31"/>
      <c r="AF17" s="31">
        <f t="shared" si="2"/>
        <v>-2217.5300000000002</v>
      </c>
      <c r="AG17" s="185"/>
      <c r="AH17" s="185"/>
      <c r="AI17" s="17">
        <f t="shared" si="3"/>
        <v>-2217.5300000000002</v>
      </c>
    </row>
    <row r="18" spans="1:35" x14ac:dyDescent="0.25">
      <c r="A18" t="s">
        <v>141</v>
      </c>
      <c r="B18" s="32">
        <v>1167</v>
      </c>
      <c r="D18" s="9">
        <f t="shared" si="4"/>
        <v>0</v>
      </c>
      <c r="E18" s="182"/>
      <c r="F18" s="182"/>
      <c r="G18" s="182"/>
      <c r="H18" s="182"/>
      <c r="I18" s="184"/>
      <c r="J18" s="185"/>
      <c r="K18" s="185"/>
      <c r="L18" s="184"/>
      <c r="M18" s="185"/>
      <c r="N18" s="185"/>
      <c r="O18" s="185"/>
      <c r="P18" s="185"/>
      <c r="Q18" s="185"/>
      <c r="R18" s="185"/>
      <c r="S18" s="31">
        <f t="shared" si="0"/>
        <v>0</v>
      </c>
      <c r="U18" s="185">
        <v>320090.77</v>
      </c>
      <c r="V18" s="72"/>
      <c r="W18" s="72"/>
      <c r="X18" s="72"/>
      <c r="Y18" s="72"/>
      <c r="Z18" s="72"/>
      <c r="AA18" s="72"/>
      <c r="AB18" s="72"/>
      <c r="AC18" s="72"/>
      <c r="AD18" s="9">
        <f t="shared" si="1"/>
        <v>320090.77</v>
      </c>
      <c r="AF18" s="9">
        <f t="shared" si="2"/>
        <v>-320090.77</v>
      </c>
      <c r="AG18" s="185"/>
      <c r="AH18" s="185"/>
      <c r="AI18" s="6">
        <f t="shared" si="3"/>
        <v>-320090.77</v>
      </c>
    </row>
    <row r="19" spans="1:35" x14ac:dyDescent="0.25">
      <c r="A19" t="s">
        <v>142</v>
      </c>
      <c r="B19">
        <v>1168</v>
      </c>
      <c r="D19" s="9">
        <f t="shared" si="4"/>
        <v>0</v>
      </c>
      <c r="E19" s="182"/>
      <c r="F19" s="182"/>
      <c r="G19" s="182"/>
      <c r="H19" s="182"/>
      <c r="I19" s="184"/>
      <c r="J19" s="185"/>
      <c r="K19" s="185"/>
      <c r="L19" s="184"/>
      <c r="M19" s="185"/>
      <c r="N19" s="185"/>
      <c r="O19" s="185"/>
      <c r="P19" s="185"/>
      <c r="Q19" s="185"/>
      <c r="R19" s="185"/>
      <c r="S19" s="31">
        <f t="shared" si="0"/>
        <v>0</v>
      </c>
      <c r="U19" s="185">
        <v>99496.33</v>
      </c>
      <c r="V19" s="72"/>
      <c r="W19" s="72"/>
      <c r="X19" s="72"/>
      <c r="Y19" s="72"/>
      <c r="Z19" s="72"/>
      <c r="AA19" s="72"/>
      <c r="AB19" s="72"/>
      <c r="AC19" s="72"/>
      <c r="AD19" s="9">
        <f t="shared" si="1"/>
        <v>99496.33</v>
      </c>
      <c r="AF19" s="9">
        <f t="shared" si="2"/>
        <v>-99496.33</v>
      </c>
      <c r="AG19" s="185"/>
      <c r="AH19" s="185"/>
      <c r="AI19" s="6">
        <f t="shared" si="3"/>
        <v>-99496.33</v>
      </c>
    </row>
    <row r="20" spans="1:35" x14ac:dyDescent="0.25">
      <c r="A20" t="s">
        <v>397</v>
      </c>
      <c r="B20">
        <v>1169</v>
      </c>
      <c r="D20" s="9">
        <f t="shared" si="4"/>
        <v>82505.06</v>
      </c>
      <c r="E20" s="182"/>
      <c r="F20" s="182"/>
      <c r="G20" s="182"/>
      <c r="H20" s="182"/>
      <c r="I20" s="184"/>
      <c r="J20" s="185"/>
      <c r="K20" s="185"/>
      <c r="L20" s="184">
        <v>82505.06</v>
      </c>
      <c r="M20" s="185"/>
      <c r="N20" s="185"/>
      <c r="O20" s="185"/>
      <c r="P20" s="185"/>
      <c r="Q20" s="185"/>
      <c r="R20" s="185"/>
      <c r="S20" s="31">
        <f t="shared" si="0"/>
        <v>82505.06</v>
      </c>
      <c r="U20" s="185">
        <v>93159.27</v>
      </c>
      <c r="V20" s="72"/>
      <c r="W20" s="72"/>
      <c r="X20" s="72"/>
      <c r="Y20" s="72"/>
      <c r="Z20" s="72"/>
      <c r="AA20" s="72"/>
      <c r="AB20" s="72"/>
      <c r="AC20" s="72"/>
      <c r="AD20" s="9">
        <f t="shared" si="1"/>
        <v>93159.27</v>
      </c>
      <c r="AF20" s="9">
        <f t="shared" si="2"/>
        <v>-10654.210000000006</v>
      </c>
      <c r="AG20" s="185"/>
      <c r="AH20" s="185"/>
      <c r="AI20" s="6">
        <f t="shared" si="3"/>
        <v>-10654.210000000006</v>
      </c>
    </row>
    <row r="21" spans="1:35" x14ac:dyDescent="0.25">
      <c r="A21" t="s">
        <v>143</v>
      </c>
      <c r="B21">
        <v>1171</v>
      </c>
      <c r="D21" s="9">
        <f t="shared" si="4"/>
        <v>0</v>
      </c>
      <c r="E21" s="182"/>
      <c r="F21" s="182"/>
      <c r="G21" s="182"/>
      <c r="H21" s="182"/>
      <c r="I21" s="184"/>
      <c r="J21" s="185"/>
      <c r="K21" s="185"/>
      <c r="L21" s="184"/>
      <c r="M21" s="185"/>
      <c r="N21" s="185"/>
      <c r="O21" s="185"/>
      <c r="P21" s="185"/>
      <c r="Q21" s="185"/>
      <c r="R21" s="185"/>
      <c r="S21" s="31">
        <f t="shared" si="0"/>
        <v>0</v>
      </c>
      <c r="U21" s="185">
        <v>15753.24</v>
      </c>
      <c r="V21" s="72"/>
      <c r="W21" s="72"/>
      <c r="X21" s="72"/>
      <c r="Y21" s="72"/>
      <c r="Z21" s="72"/>
      <c r="AA21" s="72"/>
      <c r="AB21" s="72"/>
      <c r="AC21" s="72"/>
      <c r="AD21" s="9">
        <f t="shared" si="1"/>
        <v>15753.24</v>
      </c>
      <c r="AF21" s="9">
        <f t="shared" si="2"/>
        <v>-15753.24</v>
      </c>
      <c r="AG21" s="185"/>
      <c r="AH21" s="185"/>
      <c r="AI21" s="6">
        <f t="shared" si="3"/>
        <v>-15753.24</v>
      </c>
    </row>
    <row r="22" spans="1:35" x14ac:dyDescent="0.25">
      <c r="A22" t="s">
        <v>144</v>
      </c>
      <c r="B22">
        <v>1200</v>
      </c>
      <c r="D22" s="9">
        <f t="shared" si="4"/>
        <v>42092.93</v>
      </c>
      <c r="E22" s="182"/>
      <c r="F22" s="182"/>
      <c r="G22" s="182"/>
      <c r="H22" s="182"/>
      <c r="I22" s="184"/>
      <c r="J22" s="185"/>
      <c r="K22" s="185"/>
      <c r="L22" s="184">
        <f>5150.81-3392.73</f>
        <v>1758.0800000000004</v>
      </c>
      <c r="M22" s="187">
        <v>32925.47</v>
      </c>
      <c r="N22" s="185">
        <v>6414.23</v>
      </c>
      <c r="O22" s="185">
        <v>-4.8499999999999996</v>
      </c>
      <c r="P22" s="185"/>
      <c r="Q22" s="185">
        <v>1000</v>
      </c>
      <c r="R22" s="185"/>
      <c r="S22" s="31">
        <f t="shared" si="0"/>
        <v>42092.93</v>
      </c>
      <c r="U22" s="72"/>
      <c r="V22" s="185">
        <v>1865.81</v>
      </c>
      <c r="W22" s="72"/>
      <c r="X22" s="72"/>
      <c r="Y22" s="72"/>
      <c r="Z22" s="72"/>
      <c r="AA22" s="72"/>
      <c r="AB22" s="72"/>
      <c r="AC22" s="72"/>
      <c r="AD22" s="9">
        <f t="shared" si="1"/>
        <v>1865.81</v>
      </c>
      <c r="AF22" s="9">
        <f t="shared" si="2"/>
        <v>40227.120000000003</v>
      </c>
      <c r="AG22" s="185"/>
      <c r="AH22" s="185"/>
      <c r="AI22" s="6">
        <f t="shared" si="3"/>
        <v>40227.120000000003</v>
      </c>
    </row>
    <row r="23" spans="1:35" x14ac:dyDescent="0.25">
      <c r="A23" t="s">
        <v>145</v>
      </c>
      <c r="B23">
        <v>1300</v>
      </c>
      <c r="D23" s="9">
        <f t="shared" si="4"/>
        <v>-7305.82</v>
      </c>
      <c r="E23" s="182"/>
      <c r="F23" s="182"/>
      <c r="G23" s="182"/>
      <c r="H23" s="182"/>
      <c r="I23" s="184"/>
      <c r="J23" s="185"/>
      <c r="K23" s="185"/>
      <c r="L23" s="184">
        <v>-7305.82</v>
      </c>
      <c r="M23" s="185"/>
      <c r="N23" s="185"/>
      <c r="O23" s="185"/>
      <c r="P23" s="185"/>
      <c r="Q23" s="185"/>
      <c r="R23" s="185"/>
      <c r="S23" s="31">
        <f t="shared" si="0"/>
        <v>-7305.82</v>
      </c>
      <c r="U23" s="72"/>
      <c r="V23" s="72"/>
      <c r="W23" s="185">
        <v>5882.72</v>
      </c>
      <c r="X23" s="72"/>
      <c r="Y23" s="72"/>
      <c r="Z23" s="72"/>
      <c r="AA23" s="72"/>
      <c r="AB23" s="72"/>
      <c r="AC23" s="72"/>
      <c r="AD23" s="9">
        <f t="shared" si="1"/>
        <v>5882.72</v>
      </c>
      <c r="AF23" s="9">
        <f t="shared" si="2"/>
        <v>-13188.54</v>
      </c>
      <c r="AG23" s="185"/>
      <c r="AH23" s="185"/>
      <c r="AI23" s="6">
        <f t="shared" si="3"/>
        <v>-13188.54</v>
      </c>
    </row>
    <row r="24" spans="1:35" x14ac:dyDescent="0.25">
      <c r="A24" t="s">
        <v>146</v>
      </c>
      <c r="B24">
        <v>1400</v>
      </c>
      <c r="D24" s="9">
        <f t="shared" si="4"/>
        <v>-5162.22</v>
      </c>
      <c r="E24" s="182"/>
      <c r="F24" s="182"/>
      <c r="G24" s="182"/>
      <c r="H24" s="182"/>
      <c r="I24" s="184"/>
      <c r="J24" s="185"/>
      <c r="K24" s="185"/>
      <c r="L24" s="184"/>
      <c r="M24" s="185">
        <f>-1365.67-1321.89-374.66</f>
        <v>-3062.2200000000003</v>
      </c>
      <c r="N24" s="185"/>
      <c r="O24" s="185"/>
      <c r="P24" s="185">
        <f>-900-1600+400</f>
        <v>-2100</v>
      </c>
      <c r="Q24" s="185"/>
      <c r="R24" s="185"/>
      <c r="S24" s="31">
        <f t="shared" si="0"/>
        <v>-5162.22</v>
      </c>
      <c r="U24" s="72"/>
      <c r="V24" s="72"/>
      <c r="W24" s="72"/>
      <c r="X24" s="185">
        <v>-1833.26</v>
      </c>
      <c r="Y24" s="72"/>
      <c r="Z24" s="72"/>
      <c r="AA24" s="72"/>
      <c r="AB24" s="72"/>
      <c r="AC24" s="72"/>
      <c r="AD24" s="9">
        <f t="shared" si="1"/>
        <v>-1833.26</v>
      </c>
      <c r="AF24" s="9">
        <f t="shared" si="2"/>
        <v>-3328.96</v>
      </c>
      <c r="AG24" s="185"/>
      <c r="AH24" s="185"/>
      <c r="AI24" s="6">
        <f t="shared" si="3"/>
        <v>-3328.96</v>
      </c>
    </row>
    <row r="25" spans="1:35" x14ac:dyDescent="0.25">
      <c r="A25" t="s">
        <v>147</v>
      </c>
      <c r="B25">
        <v>1500</v>
      </c>
      <c r="D25" s="9">
        <f t="shared" si="4"/>
        <v>0</v>
      </c>
      <c r="E25" s="182"/>
      <c r="F25" s="182"/>
      <c r="G25" s="182"/>
      <c r="H25" s="182"/>
      <c r="I25" s="184"/>
      <c r="J25" s="185"/>
      <c r="K25" s="185"/>
      <c r="L25" s="184"/>
      <c r="M25" s="185"/>
      <c r="N25" s="185"/>
      <c r="O25" s="185"/>
      <c r="P25" s="185"/>
      <c r="Q25" s="185"/>
      <c r="R25" s="185"/>
      <c r="S25" s="31">
        <f t="shared" si="0"/>
        <v>0</v>
      </c>
      <c r="U25" s="72"/>
      <c r="V25" s="72"/>
      <c r="W25" s="72"/>
      <c r="X25" s="72"/>
      <c r="Y25" s="185">
        <v>-406.36</v>
      </c>
      <c r="Z25" s="72"/>
      <c r="AA25" s="72"/>
      <c r="AB25" s="72"/>
      <c r="AC25" s="72"/>
      <c r="AD25" s="9">
        <f t="shared" si="1"/>
        <v>-406.36</v>
      </c>
      <c r="AF25" s="9">
        <f t="shared" si="2"/>
        <v>406.36</v>
      </c>
      <c r="AG25" s="185"/>
      <c r="AH25" s="185"/>
      <c r="AI25" s="6">
        <f t="shared" si="3"/>
        <v>406.36</v>
      </c>
    </row>
    <row r="26" spans="1:35" x14ac:dyDescent="0.25">
      <c r="A26" t="s">
        <v>225</v>
      </c>
      <c r="B26">
        <v>1600</v>
      </c>
      <c r="D26" s="9">
        <f t="shared" si="4"/>
        <v>-14590.93</v>
      </c>
      <c r="E26" s="182"/>
      <c r="F26" s="182"/>
      <c r="G26" s="182"/>
      <c r="H26" s="182"/>
      <c r="I26" s="184"/>
      <c r="J26" s="185"/>
      <c r="K26" s="185">
        <v>2606.59</v>
      </c>
      <c r="L26" s="184">
        <v>-17273.2</v>
      </c>
      <c r="M26" s="185"/>
      <c r="N26" s="185"/>
      <c r="O26" s="185"/>
      <c r="P26" s="185">
        <v>75.680000000000007</v>
      </c>
      <c r="Q26" s="185"/>
      <c r="R26" s="185"/>
      <c r="S26" s="31">
        <f t="shared" si="0"/>
        <v>-14590.93</v>
      </c>
      <c r="U26" s="72"/>
      <c r="V26" s="72"/>
      <c r="W26" s="72"/>
      <c r="X26" s="72"/>
      <c r="Y26" s="72"/>
      <c r="Z26" s="72"/>
      <c r="AA26" s="201"/>
      <c r="AB26" s="72"/>
      <c r="AC26" s="72"/>
      <c r="AD26" s="9">
        <f t="shared" si="1"/>
        <v>0</v>
      </c>
      <c r="AF26" s="9">
        <f t="shared" si="2"/>
        <v>-14590.93</v>
      </c>
      <c r="AG26" s="185"/>
      <c r="AH26" s="185"/>
      <c r="AI26" s="6">
        <f t="shared" si="3"/>
        <v>-14590.93</v>
      </c>
    </row>
    <row r="27" spans="1:35" x14ac:dyDescent="0.25">
      <c r="A27" t="s">
        <v>148</v>
      </c>
      <c r="B27">
        <v>1700</v>
      </c>
      <c r="D27" s="9">
        <f t="shared" si="4"/>
        <v>0</v>
      </c>
      <c r="E27" s="182"/>
      <c r="F27" s="182"/>
      <c r="G27" s="182"/>
      <c r="H27" s="182"/>
      <c r="I27" s="184"/>
      <c r="J27" s="185"/>
      <c r="K27" s="185"/>
      <c r="L27" s="184"/>
      <c r="M27" s="185"/>
      <c r="N27" s="185"/>
      <c r="O27" s="185"/>
      <c r="P27" s="185"/>
      <c r="Q27" s="185"/>
      <c r="R27" s="185"/>
      <c r="S27" s="31">
        <f t="shared" si="0"/>
        <v>0</v>
      </c>
      <c r="U27" s="72"/>
      <c r="V27" s="72"/>
      <c r="W27" s="72"/>
      <c r="X27" s="72"/>
      <c r="Y27" s="72"/>
      <c r="Z27" s="185">
        <v>-429.85</v>
      </c>
      <c r="AA27" s="72"/>
      <c r="AB27" s="72"/>
      <c r="AC27" s="72"/>
      <c r="AD27" s="9">
        <f t="shared" si="1"/>
        <v>-429.85</v>
      </c>
      <c r="AF27" s="9">
        <f t="shared" si="2"/>
        <v>429.85</v>
      </c>
      <c r="AG27" s="185"/>
      <c r="AH27" s="185"/>
      <c r="AI27" s="6">
        <f t="shared" si="3"/>
        <v>429.85</v>
      </c>
    </row>
    <row r="28" spans="1:35" x14ac:dyDescent="0.25">
      <c r="A28" t="s">
        <v>226</v>
      </c>
      <c r="D28" s="9">
        <f t="shared" si="4"/>
        <v>0</v>
      </c>
      <c r="E28" s="182"/>
      <c r="F28" s="182"/>
      <c r="G28" s="182"/>
      <c r="H28" s="182"/>
      <c r="I28" s="184"/>
      <c r="J28" s="185"/>
      <c r="K28" s="185"/>
      <c r="L28" s="184"/>
      <c r="M28" s="185"/>
      <c r="N28" s="185"/>
      <c r="O28" s="185"/>
      <c r="P28" s="185"/>
      <c r="Q28" s="185"/>
      <c r="R28" s="185"/>
      <c r="S28" s="31">
        <f t="shared" si="0"/>
        <v>0</v>
      </c>
      <c r="U28" s="185"/>
      <c r="V28" s="72"/>
      <c r="W28" s="72"/>
      <c r="X28" s="72"/>
      <c r="Y28" s="72"/>
      <c r="Z28" s="72"/>
      <c r="AA28" s="72"/>
      <c r="AB28" s="72"/>
      <c r="AC28" s="72"/>
      <c r="AD28" s="9">
        <f t="shared" si="1"/>
        <v>0</v>
      </c>
      <c r="AF28" s="9">
        <f t="shared" si="2"/>
        <v>0</v>
      </c>
      <c r="AG28" s="185"/>
      <c r="AH28" s="185"/>
      <c r="AI28" s="6">
        <f t="shared" si="3"/>
        <v>0</v>
      </c>
    </row>
    <row r="29" spans="1:35" x14ac:dyDescent="0.25">
      <c r="A29" t="s">
        <v>149</v>
      </c>
      <c r="B29">
        <v>1905</v>
      </c>
      <c r="D29" s="9">
        <f t="shared" si="4"/>
        <v>0</v>
      </c>
      <c r="E29" s="182"/>
      <c r="F29" s="182"/>
      <c r="G29" s="182"/>
      <c r="H29" s="182"/>
      <c r="I29" s="184"/>
      <c r="J29" s="185"/>
      <c r="K29" s="185"/>
      <c r="L29" s="184"/>
      <c r="M29" s="185"/>
      <c r="N29" s="185"/>
      <c r="O29" s="185"/>
      <c r="P29" s="185"/>
      <c r="Q29" s="185"/>
      <c r="R29" s="185"/>
      <c r="S29" s="31">
        <f t="shared" si="0"/>
        <v>0</v>
      </c>
      <c r="U29" s="72"/>
      <c r="V29" s="72"/>
      <c r="W29" s="72"/>
      <c r="X29" s="72"/>
      <c r="Y29" s="72"/>
      <c r="Z29" s="72"/>
      <c r="AA29" s="72"/>
      <c r="AB29" s="72"/>
      <c r="AC29" s="185"/>
      <c r="AD29" s="9">
        <f t="shared" si="1"/>
        <v>0</v>
      </c>
      <c r="AF29" s="9">
        <f t="shared" si="2"/>
        <v>0</v>
      </c>
      <c r="AG29" s="185"/>
      <c r="AH29" s="185">
        <v>419150</v>
      </c>
      <c r="AI29" s="6">
        <f t="shared" si="3"/>
        <v>-419150</v>
      </c>
    </row>
    <row r="30" spans="1:35" x14ac:dyDescent="0.25">
      <c r="A30" t="s">
        <v>150</v>
      </c>
      <c r="B30">
        <v>2205</v>
      </c>
      <c r="D30" s="9">
        <f t="shared" si="4"/>
        <v>130689.06</v>
      </c>
      <c r="E30" s="182"/>
      <c r="F30" s="182"/>
      <c r="G30" s="182"/>
      <c r="H30" s="182"/>
      <c r="I30" s="184"/>
      <c r="J30" s="185"/>
      <c r="K30" s="185"/>
      <c r="L30" s="184">
        <v>91099</v>
      </c>
      <c r="M30" s="185">
        <f>4412+35178.06</f>
        <v>39590.06</v>
      </c>
      <c r="N30" s="185">
        <f>35178.06-35178.06</f>
        <v>0</v>
      </c>
      <c r="O30" s="185"/>
      <c r="P30" s="185"/>
      <c r="Q30" s="185"/>
      <c r="R30" s="185"/>
      <c r="S30" s="31">
        <f t="shared" si="0"/>
        <v>130689.06</v>
      </c>
      <c r="U30" s="72"/>
      <c r="V30" s="185">
        <v>596435.52</v>
      </c>
      <c r="W30" s="72"/>
      <c r="X30" s="72"/>
      <c r="Y30" s="72"/>
      <c r="Z30" s="72"/>
      <c r="AA30" s="72"/>
      <c r="AB30" s="72"/>
      <c r="AC30" s="72"/>
      <c r="AD30" s="9">
        <f t="shared" si="1"/>
        <v>596435.52</v>
      </c>
      <c r="AF30" s="9">
        <f t="shared" si="2"/>
        <v>-465746.46</v>
      </c>
      <c r="AG30" s="185"/>
      <c r="AH30" s="185"/>
      <c r="AI30" s="6">
        <f t="shared" si="3"/>
        <v>-465746.46</v>
      </c>
    </row>
    <row r="31" spans="1:35" x14ac:dyDescent="0.25">
      <c r="A31" t="s">
        <v>151</v>
      </c>
      <c r="B31">
        <v>2210</v>
      </c>
      <c r="D31" s="9">
        <f t="shared" si="4"/>
        <v>7370.32</v>
      </c>
      <c r="E31" s="182"/>
      <c r="F31" s="182"/>
      <c r="G31" s="182"/>
      <c r="H31" s="182"/>
      <c r="I31" s="184"/>
      <c r="J31" s="185"/>
      <c r="K31" s="185"/>
      <c r="L31" s="184"/>
      <c r="M31" s="185">
        <v>7370.32</v>
      </c>
      <c r="N31" s="185"/>
      <c r="O31" s="185"/>
      <c r="P31" s="185"/>
      <c r="Q31" s="185"/>
      <c r="R31" s="185"/>
      <c r="S31" s="31">
        <f t="shared" si="0"/>
        <v>7370.32</v>
      </c>
      <c r="U31" s="72"/>
      <c r="V31" s="185">
        <v>500349.83</v>
      </c>
      <c r="W31" s="72"/>
      <c r="X31" s="72"/>
      <c r="Y31" s="72"/>
      <c r="Z31" s="72"/>
      <c r="AA31" s="72"/>
      <c r="AB31" s="72"/>
      <c r="AC31" s="72"/>
      <c r="AD31" s="9">
        <f t="shared" si="1"/>
        <v>500349.83</v>
      </c>
      <c r="AF31" s="9">
        <f t="shared" si="2"/>
        <v>-492979.51</v>
      </c>
      <c r="AG31" s="185">
        <v>335688.51</v>
      </c>
      <c r="AH31" s="185">
        <v>60</v>
      </c>
      <c r="AI31" s="6">
        <f t="shared" si="3"/>
        <v>-157351</v>
      </c>
    </row>
    <row r="32" spans="1:35" x14ac:dyDescent="0.25">
      <c r="A32" t="s">
        <v>152</v>
      </c>
      <c r="B32">
        <v>2215</v>
      </c>
      <c r="D32" s="9">
        <f t="shared" si="4"/>
        <v>0</v>
      </c>
      <c r="E32" s="182"/>
      <c r="F32" s="182"/>
      <c r="G32" s="182"/>
      <c r="H32" s="182"/>
      <c r="I32" s="184"/>
      <c r="J32" s="185"/>
      <c r="K32" s="185"/>
      <c r="L32" s="184"/>
      <c r="M32" s="185"/>
      <c r="N32" s="185"/>
      <c r="O32" s="185"/>
      <c r="P32" s="185"/>
      <c r="Q32" s="185"/>
      <c r="R32" s="185"/>
      <c r="S32" s="31">
        <f t="shared" si="0"/>
        <v>0</v>
      </c>
      <c r="U32" s="72"/>
      <c r="V32" s="185">
        <v>51862.61</v>
      </c>
      <c r="W32" s="72"/>
      <c r="X32" s="72"/>
      <c r="Y32" s="72"/>
      <c r="Z32" s="72"/>
      <c r="AA32" s="72"/>
      <c r="AB32" s="72"/>
      <c r="AC32" s="72"/>
      <c r="AD32" s="9">
        <f t="shared" si="1"/>
        <v>51862.61</v>
      </c>
      <c r="AF32" s="9">
        <f t="shared" si="2"/>
        <v>-51862.61</v>
      </c>
      <c r="AG32" s="185"/>
      <c r="AH32" s="185"/>
      <c r="AI32" s="6">
        <f t="shared" si="3"/>
        <v>-51862.61</v>
      </c>
    </row>
    <row r="33" spans="1:35" x14ac:dyDescent="0.25">
      <c r="A33" t="s">
        <v>153</v>
      </c>
      <c r="B33">
        <v>2225</v>
      </c>
      <c r="D33" s="9">
        <f t="shared" si="4"/>
        <v>50691.72</v>
      </c>
      <c r="E33" s="182"/>
      <c r="F33" s="182"/>
      <c r="G33" s="182"/>
      <c r="H33" s="182"/>
      <c r="I33" s="184"/>
      <c r="J33" s="185"/>
      <c r="K33" s="185"/>
      <c r="L33" s="184"/>
      <c r="M33" s="185">
        <v>50691.72</v>
      </c>
      <c r="N33" s="185"/>
      <c r="O33" s="185"/>
      <c r="P33" s="185"/>
      <c r="Q33" s="185"/>
      <c r="R33" s="185"/>
      <c r="S33" s="31">
        <f t="shared" si="0"/>
        <v>50691.72</v>
      </c>
      <c r="U33" s="72"/>
      <c r="V33" s="185">
        <v>127531.76</v>
      </c>
      <c r="W33" s="72"/>
      <c r="X33" s="72"/>
      <c r="Y33" s="72"/>
      <c r="Z33" s="72"/>
      <c r="AA33" s="72"/>
      <c r="AB33" s="72"/>
      <c r="AC33" s="72"/>
      <c r="AD33" s="9">
        <f t="shared" si="1"/>
        <v>127531.76</v>
      </c>
      <c r="AF33" s="9">
        <f t="shared" si="2"/>
        <v>-76840.039999999994</v>
      </c>
      <c r="AG33" s="185"/>
      <c r="AH33" s="185"/>
      <c r="AI33" s="6">
        <f t="shared" si="3"/>
        <v>-76840.039999999994</v>
      </c>
    </row>
    <row r="34" spans="1:35" x14ac:dyDescent="0.25">
      <c r="A34" t="s">
        <v>154</v>
      </c>
      <c r="B34">
        <v>2230</v>
      </c>
      <c r="D34" s="9">
        <f t="shared" si="4"/>
        <v>0</v>
      </c>
      <c r="E34" s="182"/>
      <c r="F34" s="182"/>
      <c r="G34" s="182"/>
      <c r="H34" s="182"/>
      <c r="I34" s="184"/>
      <c r="J34" s="185"/>
      <c r="K34" s="185"/>
      <c r="L34" s="184"/>
      <c r="M34" s="185"/>
      <c r="N34" s="185"/>
      <c r="O34" s="185"/>
      <c r="P34" s="185"/>
      <c r="Q34" s="185"/>
      <c r="R34" s="185"/>
      <c r="S34" s="31">
        <f t="shared" si="0"/>
        <v>0</v>
      </c>
      <c r="U34" s="72"/>
      <c r="V34" s="185"/>
      <c r="W34" s="72"/>
      <c r="X34" s="72"/>
      <c r="Y34" s="72"/>
      <c r="Z34" s="72"/>
      <c r="AA34" s="72"/>
      <c r="AB34" s="72"/>
      <c r="AC34" s="72"/>
      <c r="AD34" s="9">
        <f t="shared" si="1"/>
        <v>0</v>
      </c>
      <c r="AF34" s="9">
        <f t="shared" si="2"/>
        <v>0</v>
      </c>
      <c r="AG34" s="185"/>
      <c r="AH34" s="185"/>
      <c r="AI34" s="6">
        <f t="shared" si="3"/>
        <v>0</v>
      </c>
    </row>
    <row r="35" spans="1:35" x14ac:dyDescent="0.25">
      <c r="A35" t="s">
        <v>398</v>
      </c>
      <c r="B35">
        <v>2235</v>
      </c>
      <c r="D35" s="9">
        <f t="shared" si="4"/>
        <v>53585.5</v>
      </c>
      <c r="E35" s="182"/>
      <c r="F35" s="182"/>
      <c r="G35" s="182"/>
      <c r="H35" s="182"/>
      <c r="I35" s="184"/>
      <c r="J35" s="185"/>
      <c r="K35" s="185"/>
      <c r="L35" s="184"/>
      <c r="M35" s="185">
        <v>53585.5</v>
      </c>
      <c r="N35" s="185"/>
      <c r="O35" s="185"/>
      <c r="P35" s="185"/>
      <c r="Q35" s="185"/>
      <c r="R35" s="185"/>
      <c r="S35" s="31">
        <f t="shared" si="0"/>
        <v>53585.5</v>
      </c>
      <c r="U35" s="72"/>
      <c r="V35" s="185">
        <v>138223.59</v>
      </c>
      <c r="W35" s="72"/>
      <c r="X35" s="72"/>
      <c r="Y35" s="72"/>
      <c r="Z35" s="72"/>
      <c r="AA35" s="72"/>
      <c r="AB35" s="72"/>
      <c r="AC35" s="72"/>
      <c r="AD35" s="9">
        <f t="shared" si="1"/>
        <v>138223.59</v>
      </c>
      <c r="AF35" s="9">
        <f t="shared" si="2"/>
        <v>-84638.09</v>
      </c>
      <c r="AG35" s="185"/>
      <c r="AH35" s="185"/>
      <c r="AI35" s="6">
        <f t="shared" si="3"/>
        <v>-84638.09</v>
      </c>
    </row>
    <row r="36" spans="1:35" x14ac:dyDescent="0.25">
      <c r="A36" t="s">
        <v>399</v>
      </c>
      <c r="B36">
        <v>2240</v>
      </c>
      <c r="D36" s="9">
        <f t="shared" si="4"/>
        <v>82019.070000000007</v>
      </c>
      <c r="E36" s="182"/>
      <c r="F36" s="182"/>
      <c r="G36" s="182"/>
      <c r="H36" s="182"/>
      <c r="I36" s="184"/>
      <c r="J36" s="185"/>
      <c r="K36" s="185"/>
      <c r="L36" s="184"/>
      <c r="M36" s="185">
        <v>82019.070000000007</v>
      </c>
      <c r="N36" s="185"/>
      <c r="O36" s="185"/>
      <c r="P36" s="185"/>
      <c r="Q36" s="185"/>
      <c r="R36" s="185"/>
      <c r="S36" s="31">
        <f t="shared" si="0"/>
        <v>82019.070000000007</v>
      </c>
      <c r="U36" s="72"/>
      <c r="V36" s="185">
        <v>139722.16</v>
      </c>
      <c r="W36" s="72"/>
      <c r="X36" s="72"/>
      <c r="Y36" s="72"/>
      <c r="Z36" s="72"/>
      <c r="AA36" s="72"/>
      <c r="AB36" s="72"/>
      <c r="AC36" s="72"/>
      <c r="AD36" s="9">
        <f t="shared" si="1"/>
        <v>139722.16</v>
      </c>
      <c r="AF36" s="9">
        <f t="shared" si="2"/>
        <v>-57703.09</v>
      </c>
      <c r="AG36" s="185"/>
      <c r="AH36" s="185"/>
      <c r="AI36" s="6">
        <f t="shared" si="3"/>
        <v>-57703.09</v>
      </c>
    </row>
    <row r="37" spans="1:35" x14ac:dyDescent="0.25">
      <c r="A37" t="s">
        <v>155</v>
      </c>
      <c r="B37">
        <v>2310</v>
      </c>
      <c r="D37" s="9">
        <f t="shared" si="4"/>
        <v>251229.17</v>
      </c>
      <c r="E37" s="182"/>
      <c r="F37" s="182"/>
      <c r="G37" s="182"/>
      <c r="H37" s="182"/>
      <c r="I37" s="184"/>
      <c r="J37" s="185"/>
      <c r="K37" s="185"/>
      <c r="L37" s="184">
        <v>11923.56</v>
      </c>
      <c r="M37" s="185">
        <f>2490.54+174672.09</f>
        <v>177162.63</v>
      </c>
      <c r="N37" s="185">
        <f>234926.98-174672.09</f>
        <v>60254.890000000014</v>
      </c>
      <c r="O37" s="185"/>
      <c r="P37" s="185">
        <v>1888.09</v>
      </c>
      <c r="Q37" s="185"/>
      <c r="R37" s="185"/>
      <c r="S37" s="31">
        <f t="shared" si="0"/>
        <v>251229.17</v>
      </c>
      <c r="U37" s="72"/>
      <c r="V37" s="72"/>
      <c r="W37" s="185">
        <v>653987.27</v>
      </c>
      <c r="X37" s="72"/>
      <c r="Y37" s="72"/>
      <c r="Z37" s="72"/>
      <c r="AA37" s="72"/>
      <c r="AB37" s="72"/>
      <c r="AC37" s="72"/>
      <c r="AD37" s="9">
        <f t="shared" si="1"/>
        <v>653987.27</v>
      </c>
      <c r="AF37" s="9">
        <f t="shared" si="2"/>
        <v>-402758.1</v>
      </c>
      <c r="AG37" s="185"/>
      <c r="AH37" s="185"/>
      <c r="AI37" s="6">
        <f t="shared" si="3"/>
        <v>-402758.1</v>
      </c>
    </row>
    <row r="38" spans="1:35" x14ac:dyDescent="0.25">
      <c r="A38" t="s">
        <v>156</v>
      </c>
      <c r="B38">
        <v>2311</v>
      </c>
      <c r="D38" s="9">
        <f t="shared" si="4"/>
        <v>130395.96</v>
      </c>
      <c r="E38" s="182"/>
      <c r="F38" s="182"/>
      <c r="G38" s="182"/>
      <c r="H38" s="182"/>
      <c r="I38" s="184"/>
      <c r="J38" s="185"/>
      <c r="K38" s="185"/>
      <c r="L38" s="184">
        <f>7233.66+116629+3388</f>
        <v>127250.66</v>
      </c>
      <c r="M38" s="185">
        <v>1338.33</v>
      </c>
      <c r="N38" s="185">
        <v>1610.72</v>
      </c>
      <c r="O38" s="185"/>
      <c r="P38" s="185">
        <v>196.25</v>
      </c>
      <c r="Q38" s="185"/>
      <c r="R38" s="185"/>
      <c r="S38" s="31">
        <f t="shared" si="0"/>
        <v>130395.96</v>
      </c>
      <c r="U38" s="72"/>
      <c r="V38" s="72"/>
      <c r="W38" s="185">
        <v>480001.86</v>
      </c>
      <c r="X38" s="72"/>
      <c r="Y38" s="72"/>
      <c r="Z38" s="72"/>
      <c r="AA38" s="72"/>
      <c r="AB38" s="72"/>
      <c r="AC38" s="72"/>
      <c r="AD38" s="9">
        <f t="shared" si="1"/>
        <v>480001.86</v>
      </c>
      <c r="AF38" s="9">
        <f t="shared" si="2"/>
        <v>-349605.89999999997</v>
      </c>
      <c r="AG38" s="185">
        <v>2285</v>
      </c>
      <c r="AH38" s="185">
        <v>40</v>
      </c>
      <c r="AI38" s="6">
        <f t="shared" si="3"/>
        <v>-347360.89999999997</v>
      </c>
    </row>
    <row r="39" spans="1:35" x14ac:dyDescent="0.25">
      <c r="A39" t="s">
        <v>157</v>
      </c>
      <c r="B39">
        <v>3305</v>
      </c>
      <c r="D39" s="9">
        <f t="shared" si="4"/>
        <v>132978.79</v>
      </c>
      <c r="E39" s="182"/>
      <c r="F39" s="182"/>
      <c r="G39" s="182"/>
      <c r="H39" s="182"/>
      <c r="I39" s="184"/>
      <c r="J39" s="185"/>
      <c r="K39" s="185">
        <v>71988.66</v>
      </c>
      <c r="L39" s="184"/>
      <c r="M39" s="185">
        <f>36472.59+202.07</f>
        <v>36674.659999999996</v>
      </c>
      <c r="N39" s="185">
        <f>202.07-202.07</f>
        <v>0</v>
      </c>
      <c r="O39" s="185"/>
      <c r="P39" s="185">
        <v>24315.47</v>
      </c>
      <c r="Q39" s="185"/>
      <c r="R39" s="185"/>
      <c r="S39" s="31">
        <f t="shared" si="0"/>
        <v>132978.79</v>
      </c>
      <c r="U39" s="72"/>
      <c r="V39" s="72"/>
      <c r="W39" s="185">
        <v>2992508.92</v>
      </c>
      <c r="X39" s="72"/>
      <c r="Y39" s="72"/>
      <c r="Z39" s="72"/>
      <c r="AA39" s="72"/>
      <c r="AB39" s="72"/>
      <c r="AC39" s="72"/>
      <c r="AD39" s="9">
        <f t="shared" si="1"/>
        <v>2992508.92</v>
      </c>
      <c r="AF39" s="9">
        <f t="shared" si="2"/>
        <v>-2859530.13</v>
      </c>
      <c r="AG39" s="187">
        <f>105303.66-71988.66</f>
        <v>33315</v>
      </c>
      <c r="AH39" s="185"/>
      <c r="AI39" s="6">
        <f t="shared" si="3"/>
        <v>-2826215.13</v>
      </c>
    </row>
    <row r="40" spans="1:35" x14ac:dyDescent="0.25">
      <c r="A40" t="s">
        <v>159</v>
      </c>
      <c r="B40">
        <v>4315</v>
      </c>
      <c r="D40" s="9">
        <f t="shared" si="4"/>
        <v>0</v>
      </c>
      <c r="E40" s="182"/>
      <c r="F40" s="182"/>
      <c r="G40" s="182"/>
      <c r="H40" s="182"/>
      <c r="I40" s="184"/>
      <c r="J40" s="185"/>
      <c r="K40" s="185"/>
      <c r="L40" s="184"/>
      <c r="M40" s="185"/>
      <c r="N40" s="185"/>
      <c r="O40" s="185"/>
      <c r="P40" s="185"/>
      <c r="Q40" s="185"/>
      <c r="R40" s="185"/>
      <c r="S40" s="31">
        <f t="shared" si="0"/>
        <v>0</v>
      </c>
      <c r="U40" s="72"/>
      <c r="V40" s="72"/>
      <c r="W40" s="185">
        <v>37969.15</v>
      </c>
      <c r="X40" s="72"/>
      <c r="Y40" s="72"/>
      <c r="Z40" s="72"/>
      <c r="AA40" s="72"/>
      <c r="AB40" s="72"/>
      <c r="AC40" s="72"/>
      <c r="AD40" s="9">
        <f t="shared" si="1"/>
        <v>37969.15</v>
      </c>
      <c r="AF40" s="9">
        <f t="shared" si="2"/>
        <v>-37969.15</v>
      </c>
      <c r="AG40" s="185"/>
      <c r="AH40" s="185"/>
      <c r="AI40" s="6">
        <f t="shared" si="3"/>
        <v>-37969.15</v>
      </c>
    </row>
    <row r="41" spans="1:35" x14ac:dyDescent="0.25">
      <c r="A41" t="s">
        <v>158</v>
      </c>
      <c r="B41">
        <v>4320</v>
      </c>
      <c r="D41" s="9">
        <f t="shared" si="4"/>
        <v>173353.63</v>
      </c>
      <c r="E41" s="182"/>
      <c r="F41" s="182"/>
      <c r="G41" s="182"/>
      <c r="H41" s="182"/>
      <c r="I41" s="184"/>
      <c r="J41" s="185"/>
      <c r="K41" s="185"/>
      <c r="L41" s="184">
        <f>47896+9360+26073.56+41873.92+48150.15</f>
        <v>173353.63</v>
      </c>
      <c r="M41" s="185"/>
      <c r="N41" s="185"/>
      <c r="O41" s="185"/>
      <c r="P41" s="185"/>
      <c r="Q41" s="185"/>
      <c r="R41" s="185"/>
      <c r="S41" s="31">
        <f t="shared" si="0"/>
        <v>173353.63</v>
      </c>
      <c r="U41" s="72"/>
      <c r="V41" s="72"/>
      <c r="W41" s="185">
        <v>233681.54</v>
      </c>
      <c r="X41" s="72"/>
      <c r="Y41" s="72"/>
      <c r="Z41" s="72"/>
      <c r="AA41" s="72"/>
      <c r="AB41" s="72"/>
      <c r="AC41" s="72"/>
      <c r="AD41" s="9">
        <f t="shared" si="1"/>
        <v>233681.54</v>
      </c>
      <c r="AF41" s="9">
        <f t="shared" si="2"/>
        <v>-60327.91</v>
      </c>
      <c r="AG41" s="185"/>
      <c r="AH41" s="185"/>
      <c r="AI41" s="6">
        <f t="shared" si="3"/>
        <v>-60327.91</v>
      </c>
    </row>
    <row r="42" spans="1:35" x14ac:dyDescent="0.25">
      <c r="A42" t="s">
        <v>160</v>
      </c>
      <c r="B42">
        <v>4325</v>
      </c>
      <c r="D42" s="9">
        <f t="shared" si="4"/>
        <v>0</v>
      </c>
      <c r="E42" s="182"/>
      <c r="F42" s="182"/>
      <c r="G42" s="182"/>
      <c r="H42" s="182"/>
      <c r="I42" s="184"/>
      <c r="J42" s="185"/>
      <c r="K42" s="185"/>
      <c r="L42" s="184"/>
      <c r="M42" s="185"/>
      <c r="N42" s="185"/>
      <c r="O42" s="185"/>
      <c r="P42" s="185"/>
      <c r="Q42" s="185"/>
      <c r="R42" s="185"/>
      <c r="S42" s="31">
        <f t="shared" si="0"/>
        <v>0</v>
      </c>
      <c r="U42" s="72"/>
      <c r="V42" s="72"/>
      <c r="W42" s="185">
        <v>1488</v>
      </c>
      <c r="X42" s="72"/>
      <c r="Y42" s="72"/>
      <c r="Z42" s="72"/>
      <c r="AA42" s="72"/>
      <c r="AB42" s="72"/>
      <c r="AC42" s="72"/>
      <c r="AD42" s="9">
        <f t="shared" si="1"/>
        <v>1488</v>
      </c>
      <c r="AF42" s="9">
        <f t="shared" si="2"/>
        <v>-1488</v>
      </c>
      <c r="AG42" s="185"/>
      <c r="AH42" s="185"/>
      <c r="AI42" s="6">
        <f t="shared" si="3"/>
        <v>-1488</v>
      </c>
    </row>
    <row r="43" spans="1:35" x14ac:dyDescent="0.25">
      <c r="A43" t="s">
        <v>161</v>
      </c>
      <c r="B43">
        <v>4405</v>
      </c>
      <c r="D43" s="9">
        <f t="shared" si="4"/>
        <v>228459.37</v>
      </c>
      <c r="E43" s="182"/>
      <c r="F43" s="182"/>
      <c r="G43" s="182"/>
      <c r="H43" s="182"/>
      <c r="I43" s="184"/>
      <c r="J43" s="185"/>
      <c r="K43" s="185"/>
      <c r="L43" s="184"/>
      <c r="M43" s="185">
        <v>228459.37</v>
      </c>
      <c r="N43" s="185"/>
      <c r="O43" s="185"/>
      <c r="P43" s="185">
        <f>25487.16+134203.69+200+600+53600+4800+4375.92-223266.77</f>
        <v>0</v>
      </c>
      <c r="Q43" s="185"/>
      <c r="R43" s="185"/>
      <c r="S43" s="31">
        <f t="shared" si="0"/>
        <v>228459.37</v>
      </c>
      <c r="U43" s="72"/>
      <c r="V43" s="72"/>
      <c r="W43" s="72"/>
      <c r="X43" s="185">
        <v>458957.83</v>
      </c>
      <c r="Y43" s="72"/>
      <c r="Z43" s="72"/>
      <c r="AA43" s="72"/>
      <c r="AB43" s="72"/>
      <c r="AC43" s="72"/>
      <c r="AD43" s="9">
        <f t="shared" si="1"/>
        <v>458957.83</v>
      </c>
      <c r="AF43" s="9">
        <f t="shared" si="2"/>
        <v>-230498.46000000002</v>
      </c>
      <c r="AG43" s="185"/>
      <c r="AH43" s="185"/>
      <c r="AI43" s="6">
        <f t="shared" si="3"/>
        <v>-230498.46000000002</v>
      </c>
    </row>
    <row r="44" spans="1:35" x14ac:dyDescent="0.25">
      <c r="A44" t="s">
        <v>162</v>
      </c>
      <c r="B44">
        <v>5505</v>
      </c>
      <c r="D44" s="9">
        <f t="shared" si="4"/>
        <v>0</v>
      </c>
      <c r="E44" s="182"/>
      <c r="F44" s="182"/>
      <c r="G44" s="182"/>
      <c r="H44" s="182"/>
      <c r="I44" s="184"/>
      <c r="J44" s="185"/>
      <c r="K44" s="185"/>
      <c r="L44" s="184"/>
      <c r="M44" s="185"/>
      <c r="N44" s="185"/>
      <c r="O44" s="185"/>
      <c r="P44" s="185"/>
      <c r="Q44" s="185"/>
      <c r="R44" s="185"/>
      <c r="S44" s="31">
        <f t="shared" si="0"/>
        <v>0</v>
      </c>
      <c r="U44" s="72"/>
      <c r="V44" s="72"/>
      <c r="W44" s="72"/>
      <c r="X44" s="72"/>
      <c r="Y44" s="185"/>
      <c r="Z44" s="72"/>
      <c r="AA44" s="72"/>
      <c r="AB44" s="72"/>
      <c r="AC44" s="72"/>
      <c r="AD44" s="9">
        <f t="shared" si="1"/>
        <v>0</v>
      </c>
      <c r="AF44" s="9">
        <f t="shared" si="2"/>
        <v>0</v>
      </c>
      <c r="AG44" s="185">
        <v>270697.44</v>
      </c>
      <c r="AH44" s="185">
        <v>1473120</v>
      </c>
      <c r="AI44" s="6">
        <f t="shared" si="3"/>
        <v>-1202422.56</v>
      </c>
    </row>
    <row r="45" spans="1:35" x14ac:dyDescent="0.25">
      <c r="A45" t="s">
        <v>163</v>
      </c>
      <c r="B45">
        <v>5507</v>
      </c>
      <c r="D45" s="9">
        <f t="shared" si="4"/>
        <v>4146.3900000000003</v>
      </c>
      <c r="E45" s="182"/>
      <c r="F45" s="182"/>
      <c r="G45" s="182"/>
      <c r="H45" s="182"/>
      <c r="I45" s="184"/>
      <c r="J45" s="185"/>
      <c r="K45" s="185"/>
      <c r="L45" s="184"/>
      <c r="M45" s="185"/>
      <c r="N45" s="185"/>
      <c r="O45" s="185"/>
      <c r="P45" s="185">
        <v>4146.3900000000003</v>
      </c>
      <c r="Q45" s="185"/>
      <c r="R45" s="185"/>
      <c r="S45" s="31">
        <f t="shared" si="0"/>
        <v>4146.3900000000003</v>
      </c>
      <c r="U45" s="185"/>
      <c r="V45" s="72"/>
      <c r="W45" s="72"/>
      <c r="X45" s="72"/>
      <c r="Y45" s="185">
        <v>106499.19</v>
      </c>
      <c r="Z45" s="72"/>
      <c r="AA45" s="72"/>
      <c r="AB45" s="72"/>
      <c r="AC45" s="72"/>
      <c r="AD45" s="9">
        <f t="shared" si="1"/>
        <v>106499.19</v>
      </c>
      <c r="AF45" s="9">
        <f t="shared" si="2"/>
        <v>-102352.8</v>
      </c>
      <c r="AG45" s="185"/>
      <c r="AH45" s="185"/>
      <c r="AI45" s="6">
        <f t="shared" si="3"/>
        <v>-102352.8</v>
      </c>
    </row>
    <row r="46" spans="1:35" x14ac:dyDescent="0.25">
      <c r="A46" t="s">
        <v>164</v>
      </c>
      <c r="B46">
        <v>8175</v>
      </c>
      <c r="D46" s="9">
        <f t="shared" si="4"/>
        <v>46059.92</v>
      </c>
      <c r="E46" s="182"/>
      <c r="F46" s="182"/>
      <c r="G46" s="182"/>
      <c r="H46" s="182"/>
      <c r="I46" s="184"/>
      <c r="J46" s="185"/>
      <c r="K46" s="185"/>
      <c r="L46" s="184"/>
      <c r="M46" s="185">
        <v>46059.92</v>
      </c>
      <c r="N46" s="185"/>
      <c r="O46" s="185"/>
      <c r="P46" s="185"/>
      <c r="Q46" s="185"/>
      <c r="R46" s="185"/>
      <c r="S46" s="31">
        <f t="shared" si="0"/>
        <v>46059.92</v>
      </c>
      <c r="U46" s="185">
        <v>201127.85</v>
      </c>
      <c r="V46" s="72"/>
      <c r="W46" s="72"/>
      <c r="X46" s="72"/>
      <c r="Y46" s="72"/>
      <c r="Z46" s="72"/>
      <c r="AA46" s="72"/>
      <c r="AB46" s="72"/>
      <c r="AC46" s="72"/>
      <c r="AD46" s="9">
        <f t="shared" si="1"/>
        <v>201127.85</v>
      </c>
      <c r="AF46" s="9">
        <f t="shared" si="2"/>
        <v>-155067.93</v>
      </c>
      <c r="AG46" s="185"/>
      <c r="AH46" s="185"/>
      <c r="AI46" s="6">
        <f t="shared" si="3"/>
        <v>-155067.93</v>
      </c>
    </row>
    <row r="47" spans="1:35" x14ac:dyDescent="0.25">
      <c r="A47" t="s">
        <v>165</v>
      </c>
      <c r="B47">
        <v>8180</v>
      </c>
      <c r="D47" s="9">
        <f t="shared" si="4"/>
        <v>185602.93</v>
      </c>
      <c r="E47" s="182"/>
      <c r="F47" s="182"/>
      <c r="G47" s="182"/>
      <c r="H47" s="182">
        <v>143156.68</v>
      </c>
      <c r="I47" s="184"/>
      <c r="J47" s="185"/>
      <c r="K47" s="185"/>
      <c r="L47" s="184"/>
      <c r="M47" s="185">
        <v>5866.25</v>
      </c>
      <c r="N47" s="185"/>
      <c r="O47" s="185"/>
      <c r="P47" s="185">
        <v>0</v>
      </c>
      <c r="Q47" s="185">
        <v>36580</v>
      </c>
      <c r="R47" s="185"/>
      <c r="S47" s="31">
        <f t="shared" si="0"/>
        <v>185602.93</v>
      </c>
      <c r="U47" s="185">
        <v>343409.48</v>
      </c>
      <c r="V47" s="72"/>
      <c r="W47" s="72"/>
      <c r="X47" s="72"/>
      <c r="Y47" s="72"/>
      <c r="Z47" s="72"/>
      <c r="AA47" s="72"/>
      <c r="AB47" s="72"/>
      <c r="AC47" s="72"/>
      <c r="AD47" s="9">
        <f t="shared" si="1"/>
        <v>343409.48</v>
      </c>
      <c r="AF47" s="9">
        <f t="shared" si="2"/>
        <v>-157806.54999999999</v>
      </c>
      <c r="AG47" s="185"/>
      <c r="AH47" s="185"/>
      <c r="AI47" s="6">
        <f t="shared" si="3"/>
        <v>-157806.54999999999</v>
      </c>
    </row>
    <row r="48" spans="1:35" x14ac:dyDescent="0.25">
      <c r="A48" t="s">
        <v>166</v>
      </c>
      <c r="B48">
        <v>8185</v>
      </c>
      <c r="D48" s="9">
        <f t="shared" si="4"/>
        <v>0</v>
      </c>
      <c r="E48" s="182"/>
      <c r="F48" s="182"/>
      <c r="G48" s="182"/>
      <c r="H48" s="182"/>
      <c r="I48" s="184"/>
      <c r="J48" s="185"/>
      <c r="K48" s="185"/>
      <c r="L48" s="184"/>
      <c r="M48" s="185"/>
      <c r="N48" s="185"/>
      <c r="O48" s="185"/>
      <c r="P48" s="185"/>
      <c r="Q48" s="185"/>
      <c r="R48" s="185"/>
      <c r="S48" s="31">
        <f t="shared" si="0"/>
        <v>0</v>
      </c>
      <c r="U48" s="185">
        <v>101241.04</v>
      </c>
      <c r="V48" s="72"/>
      <c r="W48" s="72"/>
      <c r="X48" s="72"/>
      <c r="Y48" s="72"/>
      <c r="Z48" s="72"/>
      <c r="AA48" s="72"/>
      <c r="AB48" s="72"/>
      <c r="AC48" s="72"/>
      <c r="AD48" s="9">
        <f t="shared" si="1"/>
        <v>101241.04</v>
      </c>
      <c r="AF48" s="9">
        <f t="shared" si="2"/>
        <v>-101241.04</v>
      </c>
      <c r="AG48" s="185"/>
      <c r="AH48" s="185"/>
      <c r="AI48" s="6">
        <f t="shared" si="3"/>
        <v>-101241.04</v>
      </c>
    </row>
    <row r="49" spans="1:35" x14ac:dyDescent="0.25">
      <c r="A49" t="s">
        <v>167</v>
      </c>
      <c r="B49">
        <v>8245</v>
      </c>
      <c r="D49" s="9">
        <f t="shared" si="4"/>
        <v>4596.2</v>
      </c>
      <c r="E49" s="182"/>
      <c r="F49" s="182"/>
      <c r="G49" s="182"/>
      <c r="H49" s="182"/>
      <c r="I49" s="184"/>
      <c r="J49" s="185"/>
      <c r="K49" s="185"/>
      <c r="L49" s="184"/>
      <c r="M49" s="185">
        <v>4591.2</v>
      </c>
      <c r="N49" s="185"/>
      <c r="O49" s="185"/>
      <c r="P49" s="185">
        <v>5</v>
      </c>
      <c r="Q49" s="185"/>
      <c r="R49" s="185"/>
      <c r="S49" s="31">
        <f t="shared" si="0"/>
        <v>4596.2</v>
      </c>
      <c r="U49" s="72"/>
      <c r="V49" s="185">
        <v>31753.52</v>
      </c>
      <c r="W49" s="72"/>
      <c r="X49" s="72"/>
      <c r="Y49" s="72"/>
      <c r="Z49" s="72"/>
      <c r="AA49" s="72"/>
      <c r="AB49" s="72"/>
      <c r="AC49" s="72"/>
      <c r="AD49" s="9">
        <f t="shared" si="1"/>
        <v>31753.52</v>
      </c>
      <c r="AF49" s="9">
        <f t="shared" si="2"/>
        <v>-27157.32</v>
      </c>
      <c r="AG49" s="185"/>
      <c r="AH49" s="185"/>
      <c r="AI49" s="6">
        <f t="shared" si="3"/>
        <v>-27157.32</v>
      </c>
    </row>
    <row r="50" spans="1:35" x14ac:dyDescent="0.25">
      <c r="A50" t="s">
        <v>168</v>
      </c>
      <c r="B50">
        <v>8250</v>
      </c>
      <c r="D50" s="9">
        <f t="shared" si="4"/>
        <v>316364.05</v>
      </c>
      <c r="E50" s="182"/>
      <c r="F50" s="182"/>
      <c r="G50" s="182"/>
      <c r="H50" s="182"/>
      <c r="I50" s="184"/>
      <c r="J50" s="185"/>
      <c r="K50" s="185"/>
      <c r="L50" s="184"/>
      <c r="M50" s="185">
        <v>316364.05</v>
      </c>
      <c r="N50" s="185"/>
      <c r="O50" s="185"/>
      <c r="P50" s="185"/>
      <c r="Q50" s="185"/>
      <c r="R50" s="185"/>
      <c r="S50" s="31">
        <f t="shared" si="0"/>
        <v>316364.05</v>
      </c>
      <c r="U50" s="72"/>
      <c r="V50" s="185">
        <v>283150.31</v>
      </c>
      <c r="W50" s="72"/>
      <c r="X50" s="72"/>
      <c r="Y50" s="72"/>
      <c r="Z50" s="72"/>
      <c r="AA50" s="72"/>
      <c r="AB50" s="72"/>
      <c r="AC50" s="72"/>
      <c r="AD50" s="9">
        <f t="shared" si="1"/>
        <v>283150.31</v>
      </c>
      <c r="AF50" s="9">
        <f t="shared" si="2"/>
        <v>33213.739999999991</v>
      </c>
      <c r="AG50" s="185"/>
      <c r="AH50" s="185"/>
      <c r="AI50" s="6">
        <f t="shared" si="3"/>
        <v>33213.739999999991</v>
      </c>
    </row>
    <row r="51" spans="1:35" x14ac:dyDescent="0.25">
      <c r="A51" t="s">
        <v>169</v>
      </c>
      <c r="B51">
        <v>8255</v>
      </c>
      <c r="D51" s="9">
        <f t="shared" si="4"/>
        <v>26419.63</v>
      </c>
      <c r="E51" s="182"/>
      <c r="F51" s="182"/>
      <c r="G51" s="182"/>
      <c r="H51" s="182"/>
      <c r="I51" s="184"/>
      <c r="J51" s="185"/>
      <c r="K51" s="185"/>
      <c r="L51" s="184">
        <f>10000+4459.63</f>
        <v>14459.630000000001</v>
      </c>
      <c r="M51" s="185"/>
      <c r="N51" s="185"/>
      <c r="O51" s="185"/>
      <c r="P51" s="185"/>
      <c r="Q51" s="185">
        <v>11960</v>
      </c>
      <c r="R51" s="185"/>
      <c r="S51" s="31">
        <f t="shared" si="0"/>
        <v>26419.63</v>
      </c>
      <c r="U51" s="72"/>
      <c r="V51" s="185">
        <v>79572.399999999994</v>
      </c>
      <c r="W51" s="72"/>
      <c r="X51" s="72"/>
      <c r="Y51" s="72"/>
      <c r="Z51" s="72"/>
      <c r="AA51" s="72"/>
      <c r="AB51" s="72"/>
      <c r="AC51" s="72"/>
      <c r="AD51" s="9">
        <f t="shared" si="1"/>
        <v>79572.399999999994</v>
      </c>
      <c r="AF51" s="9">
        <f t="shared" si="2"/>
        <v>-53152.76999999999</v>
      </c>
      <c r="AG51" s="185"/>
      <c r="AH51" s="185"/>
      <c r="AI51" s="6">
        <f t="shared" si="3"/>
        <v>-53152.76999999999</v>
      </c>
    </row>
    <row r="52" spans="1:35" x14ac:dyDescent="0.25">
      <c r="A52" t="s">
        <v>170</v>
      </c>
      <c r="B52">
        <v>8260</v>
      </c>
      <c r="D52" s="9">
        <f t="shared" si="4"/>
        <v>340240.95</v>
      </c>
      <c r="E52" s="182"/>
      <c r="F52" s="182"/>
      <c r="G52" s="182"/>
      <c r="H52" s="182"/>
      <c r="I52" s="184"/>
      <c r="J52" s="185"/>
      <c r="K52" s="185"/>
      <c r="L52" s="184">
        <f>38602.5+38602.53+77205.06+5645.93+116544.35+37457.75</f>
        <v>314058.12</v>
      </c>
      <c r="M52" s="185"/>
      <c r="N52" s="185">
        <v>26182.83</v>
      </c>
      <c r="O52" s="185"/>
      <c r="P52" s="185"/>
      <c r="Q52" s="185"/>
      <c r="R52" s="185"/>
      <c r="S52" s="31">
        <f t="shared" si="0"/>
        <v>340240.95</v>
      </c>
      <c r="U52" s="72"/>
      <c r="V52" s="185">
        <v>817466.08</v>
      </c>
      <c r="W52" s="72"/>
      <c r="X52" s="72"/>
      <c r="Y52" s="72"/>
      <c r="Z52" s="72"/>
      <c r="AA52" s="72"/>
      <c r="AB52" s="72"/>
      <c r="AC52" s="72"/>
      <c r="AD52" s="9">
        <f t="shared" si="1"/>
        <v>817466.08</v>
      </c>
      <c r="AF52" s="9">
        <f t="shared" si="2"/>
        <v>-477225.12999999995</v>
      </c>
      <c r="AG52" s="185"/>
      <c r="AH52" s="185">
        <v>75</v>
      </c>
      <c r="AI52" s="6">
        <f t="shared" si="3"/>
        <v>-477300.12999999995</v>
      </c>
    </row>
    <row r="53" spans="1:35" x14ac:dyDescent="0.25">
      <c r="A53" t="s">
        <v>171</v>
      </c>
      <c r="B53">
        <v>8265</v>
      </c>
      <c r="D53" s="9">
        <f t="shared" si="4"/>
        <v>295365.35000000003</v>
      </c>
      <c r="E53" s="182"/>
      <c r="F53" s="182"/>
      <c r="G53" s="182"/>
      <c r="H53" s="182"/>
      <c r="I53" s="184"/>
      <c r="J53" s="185"/>
      <c r="K53" s="185"/>
      <c r="L53" s="184"/>
      <c r="M53" s="185">
        <v>294988.21000000002</v>
      </c>
      <c r="N53" s="185"/>
      <c r="O53" s="185">
        <v>377.14</v>
      </c>
      <c r="P53" s="185"/>
      <c r="Q53" s="185"/>
      <c r="R53" s="185"/>
      <c r="S53" s="31">
        <f t="shared" si="0"/>
        <v>295365.35000000003</v>
      </c>
      <c r="U53" s="72"/>
      <c r="V53" s="185">
        <v>302532.76</v>
      </c>
      <c r="W53" s="72"/>
      <c r="X53" s="72"/>
      <c r="Y53" s="72"/>
      <c r="Z53" s="72"/>
      <c r="AA53" s="72"/>
      <c r="AB53" s="72"/>
      <c r="AC53" s="72"/>
      <c r="AD53" s="9">
        <f t="shared" si="1"/>
        <v>302532.76</v>
      </c>
      <c r="AF53" s="9">
        <f t="shared" si="2"/>
        <v>-7167.4099999999744</v>
      </c>
      <c r="AG53" s="185"/>
      <c r="AH53" s="185"/>
      <c r="AI53" s="6">
        <f t="shared" si="3"/>
        <v>-7167.4099999999744</v>
      </c>
    </row>
    <row r="54" spans="1:35" x14ac:dyDescent="0.25">
      <c r="A54" t="s">
        <v>172</v>
      </c>
      <c r="B54">
        <v>8270</v>
      </c>
      <c r="D54" s="9">
        <f t="shared" si="4"/>
        <v>187418.45</v>
      </c>
      <c r="E54" s="182"/>
      <c r="F54" s="182"/>
      <c r="G54" s="182"/>
      <c r="H54" s="182"/>
      <c r="I54" s="184"/>
      <c r="J54" s="185"/>
      <c r="K54" s="185"/>
      <c r="L54" s="184">
        <v>475</v>
      </c>
      <c r="M54" s="185">
        <v>145904.06</v>
      </c>
      <c r="N54" s="185">
        <v>40960.39</v>
      </c>
      <c r="O54" s="185"/>
      <c r="P54" s="185">
        <v>79</v>
      </c>
      <c r="Q54" s="185"/>
      <c r="R54" s="185"/>
      <c r="S54" s="31">
        <f t="shared" si="0"/>
        <v>187418.45</v>
      </c>
      <c r="U54" s="72"/>
      <c r="V54" s="185">
        <v>786104.05</v>
      </c>
      <c r="W54" s="72"/>
      <c r="X54" s="72"/>
      <c r="Y54" s="72"/>
      <c r="Z54" s="72"/>
      <c r="AA54" s="72"/>
      <c r="AB54" s="72"/>
      <c r="AC54" s="72"/>
      <c r="AD54" s="9">
        <f t="shared" si="1"/>
        <v>786104.05</v>
      </c>
      <c r="AF54" s="9">
        <f t="shared" si="2"/>
        <v>-598685.60000000009</v>
      </c>
      <c r="AG54" s="185"/>
      <c r="AH54" s="185">
        <v>60</v>
      </c>
      <c r="AI54" s="6">
        <f t="shared" si="3"/>
        <v>-598745.60000000009</v>
      </c>
    </row>
    <row r="55" spans="1:35" x14ac:dyDescent="0.25">
      <c r="A55" t="s">
        <v>173</v>
      </c>
      <c r="B55">
        <v>9110</v>
      </c>
      <c r="D55" s="9">
        <f t="shared" si="4"/>
        <v>2382.75</v>
      </c>
      <c r="E55" s="182"/>
      <c r="F55" s="182"/>
      <c r="G55" s="182"/>
      <c r="H55" s="182"/>
      <c r="I55" s="184"/>
      <c r="J55" s="185"/>
      <c r="K55" s="185"/>
      <c r="L55" s="184"/>
      <c r="M55" s="185">
        <f>1512.75+675</f>
        <v>2187.75</v>
      </c>
      <c r="N55" s="185"/>
      <c r="O55" s="185"/>
      <c r="P55" s="185">
        <f>195</f>
        <v>195</v>
      </c>
      <c r="Q55" s="185"/>
      <c r="R55" s="185"/>
      <c r="S55" s="31">
        <f t="shared" si="0"/>
        <v>2382.75</v>
      </c>
      <c r="U55" s="185">
        <v>412248.36</v>
      </c>
      <c r="V55" s="72"/>
      <c r="W55" s="72"/>
      <c r="X55" s="72"/>
      <c r="Y55" s="72"/>
      <c r="Z55" s="72"/>
      <c r="AA55" s="72"/>
      <c r="AB55" s="72"/>
      <c r="AC55" s="72"/>
      <c r="AD55" s="9">
        <f t="shared" si="1"/>
        <v>412248.36</v>
      </c>
      <c r="AF55" s="9">
        <f t="shared" si="2"/>
        <v>-409865.61</v>
      </c>
      <c r="AG55" s="185"/>
      <c r="AH55" s="185">
        <v>120</v>
      </c>
      <c r="AI55" s="6">
        <f t="shared" si="3"/>
        <v>-409985.61</v>
      </c>
    </row>
    <row r="56" spans="1:35" x14ac:dyDescent="0.25">
      <c r="A56" t="s">
        <v>174</v>
      </c>
      <c r="B56">
        <v>9115</v>
      </c>
      <c r="D56" s="9">
        <f t="shared" si="4"/>
        <v>54074.96</v>
      </c>
      <c r="E56" s="182"/>
      <c r="F56" s="182"/>
      <c r="G56" s="182"/>
      <c r="H56" s="182"/>
      <c r="I56" s="184"/>
      <c r="J56" s="185"/>
      <c r="K56" s="185"/>
      <c r="L56" s="184">
        <v>52262.46</v>
      </c>
      <c r="M56" s="185">
        <f>54074.96-52262.46</f>
        <v>1812.5</v>
      </c>
      <c r="N56" s="185"/>
      <c r="O56" s="185"/>
      <c r="P56" s="185"/>
      <c r="Q56" s="185"/>
      <c r="R56" s="185"/>
      <c r="S56" s="31">
        <f t="shared" si="0"/>
        <v>54074.96</v>
      </c>
      <c r="U56" s="185">
        <v>276456.82</v>
      </c>
      <c r="V56" s="72"/>
      <c r="W56" s="72"/>
      <c r="X56" s="72"/>
      <c r="Y56" s="72"/>
      <c r="Z56" s="72"/>
      <c r="AA56" s="72"/>
      <c r="AB56" s="72"/>
      <c r="AC56" s="72"/>
      <c r="AD56" s="9">
        <f t="shared" si="1"/>
        <v>276456.82</v>
      </c>
      <c r="AF56" s="9">
        <f t="shared" si="2"/>
        <v>-222381.86000000002</v>
      </c>
      <c r="AG56" s="185"/>
      <c r="AH56" s="185"/>
      <c r="AI56" s="6">
        <f t="shared" si="3"/>
        <v>-222381.86000000002</v>
      </c>
    </row>
    <row r="57" spans="1:35" x14ac:dyDescent="0.25">
      <c r="A57" t="s">
        <v>175</v>
      </c>
      <c r="B57">
        <v>9125</v>
      </c>
      <c r="D57" s="9">
        <f t="shared" si="4"/>
        <v>586.32000000000005</v>
      </c>
      <c r="E57" s="182"/>
      <c r="F57" s="182"/>
      <c r="G57" s="182"/>
      <c r="H57" s="182"/>
      <c r="I57" s="184"/>
      <c r="J57" s="185"/>
      <c r="K57" s="185"/>
      <c r="L57" s="184"/>
      <c r="M57" s="185">
        <v>586.32000000000005</v>
      </c>
      <c r="N57" s="185"/>
      <c r="O57" s="185"/>
      <c r="P57" s="185"/>
      <c r="Q57" s="185"/>
      <c r="R57" s="185"/>
      <c r="S57" s="31">
        <f t="shared" si="0"/>
        <v>586.32000000000005</v>
      </c>
      <c r="U57" s="185">
        <v>845903.04</v>
      </c>
      <c r="V57" s="106"/>
      <c r="W57" s="72"/>
      <c r="X57" s="72"/>
      <c r="Y57" s="72"/>
      <c r="Z57" s="72"/>
      <c r="AA57" s="72"/>
      <c r="AB57" s="72"/>
      <c r="AC57" s="72"/>
      <c r="AD57" s="9">
        <f t="shared" si="1"/>
        <v>845903.04</v>
      </c>
      <c r="AF57" s="9">
        <f t="shared" si="2"/>
        <v>-845316.72000000009</v>
      </c>
      <c r="AG57" s="185">
        <v>39000</v>
      </c>
      <c r="AH57" s="185">
        <v>75</v>
      </c>
      <c r="AI57" s="6">
        <f t="shared" si="3"/>
        <v>-806391.72000000009</v>
      </c>
    </row>
    <row r="58" spans="1:35" x14ac:dyDescent="0.25">
      <c r="A58" t="s">
        <v>176</v>
      </c>
      <c r="B58">
        <v>9130</v>
      </c>
      <c r="D58" s="9">
        <f t="shared" si="4"/>
        <v>0</v>
      </c>
      <c r="E58" s="182"/>
      <c r="F58" s="182"/>
      <c r="G58" s="182"/>
      <c r="H58" s="182"/>
      <c r="I58" s="184"/>
      <c r="J58" s="185"/>
      <c r="K58" s="185"/>
      <c r="L58" s="184"/>
      <c r="M58" s="185"/>
      <c r="N58" s="185"/>
      <c r="O58" s="185"/>
      <c r="P58" s="185"/>
      <c r="Q58" s="185"/>
      <c r="R58" s="185"/>
      <c r="S58" s="31">
        <f t="shared" si="0"/>
        <v>0</v>
      </c>
      <c r="U58" s="185">
        <v>380320.37</v>
      </c>
      <c r="V58" s="72"/>
      <c r="W58" s="72"/>
      <c r="X58" s="72"/>
      <c r="Y58" s="106"/>
      <c r="Z58" s="72"/>
      <c r="AA58" s="72"/>
      <c r="AB58" s="72"/>
      <c r="AC58" s="72"/>
      <c r="AD58" s="9">
        <f t="shared" si="1"/>
        <v>380320.37</v>
      </c>
      <c r="AF58" s="9">
        <f t="shared" si="2"/>
        <v>-380320.37</v>
      </c>
      <c r="AG58" s="185">
        <v>38199.379999999997</v>
      </c>
      <c r="AH58" s="185"/>
      <c r="AI58" s="6">
        <f t="shared" si="3"/>
        <v>-342120.99</v>
      </c>
    </row>
    <row r="59" spans="1:35" x14ac:dyDescent="0.25">
      <c r="A59" t="s">
        <v>177</v>
      </c>
      <c r="B59">
        <v>9190</v>
      </c>
      <c r="D59" s="9">
        <f t="shared" si="4"/>
        <v>579337.18999999994</v>
      </c>
      <c r="E59" s="182"/>
      <c r="F59" s="182"/>
      <c r="G59" s="182"/>
      <c r="H59" s="182"/>
      <c r="I59" s="184"/>
      <c r="J59" s="185"/>
      <c r="K59" s="185"/>
      <c r="L59" s="184">
        <f>251509.02+45552.08+48050.01+145883.68+3596.06+20790.8+4237</f>
        <v>519618.64999999997</v>
      </c>
      <c r="M59" s="185">
        <v>59718.54</v>
      </c>
      <c r="N59" s="185"/>
      <c r="O59" s="185"/>
      <c r="P59" s="185"/>
      <c r="Q59" s="185"/>
      <c r="R59" s="185"/>
      <c r="S59" s="31">
        <f t="shared" si="0"/>
        <v>579337.18999999994</v>
      </c>
      <c r="U59" s="185">
        <v>883085.85</v>
      </c>
      <c r="V59" s="72"/>
      <c r="W59" s="72"/>
      <c r="X59" s="72"/>
      <c r="Y59" s="72"/>
      <c r="Z59" s="106"/>
      <c r="AA59" s="72"/>
      <c r="AB59" s="72"/>
      <c r="AC59" s="72"/>
      <c r="AD59" s="9">
        <f t="shared" si="1"/>
        <v>883085.85</v>
      </c>
      <c r="AF59" s="9">
        <f t="shared" si="2"/>
        <v>-303748.66000000003</v>
      </c>
      <c r="AG59" s="185"/>
      <c r="AH59" s="185"/>
      <c r="AI59" s="6">
        <f t="shared" si="3"/>
        <v>-303748.66000000003</v>
      </c>
    </row>
    <row r="60" spans="1:35" x14ac:dyDescent="0.25">
      <c r="A60" t="s">
        <v>227</v>
      </c>
      <c r="B60">
        <v>9605</v>
      </c>
      <c r="D60" s="9">
        <f t="shared" si="4"/>
        <v>143136.77000000002</v>
      </c>
      <c r="E60" s="182"/>
      <c r="F60" s="182"/>
      <c r="G60" s="182"/>
      <c r="H60" s="182"/>
      <c r="I60" s="184"/>
      <c r="J60" s="185"/>
      <c r="K60" s="185"/>
      <c r="L60" s="184">
        <v>43183</v>
      </c>
      <c r="M60" s="185">
        <v>92356.14</v>
      </c>
      <c r="N60" s="185">
        <f>792.52-792.52</f>
        <v>0</v>
      </c>
      <c r="O60" s="185">
        <v>92.43</v>
      </c>
      <c r="P60" s="185">
        <f>6712.68+792.52</f>
        <v>7505.2000000000007</v>
      </c>
      <c r="Q60" s="185"/>
      <c r="R60" s="185"/>
      <c r="S60" s="31">
        <f t="shared" si="0"/>
        <v>143136.77000000002</v>
      </c>
      <c r="U60" s="185">
        <v>792.52</v>
      </c>
      <c r="V60" s="72"/>
      <c r="W60" s="72"/>
      <c r="X60" s="72"/>
      <c r="Y60" s="72"/>
      <c r="Z60" s="72"/>
      <c r="AA60" s="185">
        <f>308494.49-792.52</f>
        <v>307701.96999999997</v>
      </c>
      <c r="AB60" s="72"/>
      <c r="AC60" s="72"/>
      <c r="AD60" s="9">
        <f>SUM(U60:AC60)</f>
        <v>308494.49</v>
      </c>
      <c r="AF60" s="9">
        <f t="shared" si="2"/>
        <v>-165357.71999999997</v>
      </c>
      <c r="AG60" s="185">
        <v>7895.17</v>
      </c>
      <c r="AH60" s="185"/>
      <c r="AI60" s="6">
        <f t="shared" si="3"/>
        <v>-157462.54999999996</v>
      </c>
    </row>
    <row r="61" spans="1:35" x14ac:dyDescent="0.25">
      <c r="A61" t="s">
        <v>178</v>
      </c>
      <c r="B61">
        <v>9710</v>
      </c>
      <c r="D61" s="9">
        <f t="shared" si="4"/>
        <v>18643.18</v>
      </c>
      <c r="E61" s="182"/>
      <c r="F61" s="182"/>
      <c r="G61" s="182"/>
      <c r="H61" s="182"/>
      <c r="I61" s="184"/>
      <c r="J61" s="185"/>
      <c r="K61" s="185"/>
      <c r="L61" s="184"/>
      <c r="M61" s="185">
        <v>18643.18</v>
      </c>
      <c r="N61" s="185"/>
      <c r="O61" s="185"/>
      <c r="P61" s="185"/>
      <c r="Q61" s="185"/>
      <c r="R61" s="185"/>
      <c r="S61" s="31">
        <f t="shared" si="0"/>
        <v>18643.18</v>
      </c>
      <c r="U61" s="72"/>
      <c r="V61" s="72"/>
      <c r="W61" s="72"/>
      <c r="X61" s="72"/>
      <c r="Y61" s="72"/>
      <c r="Z61" s="185">
        <v>446784.68</v>
      </c>
      <c r="AA61" s="72"/>
      <c r="AB61" s="72"/>
      <c r="AC61" s="72"/>
      <c r="AD61" s="9">
        <f>SUM(V61:AC61)</f>
        <v>446784.68</v>
      </c>
      <c r="AF61" s="9">
        <f t="shared" si="2"/>
        <v>-428141.5</v>
      </c>
      <c r="AG61" s="185"/>
      <c r="AH61" s="185"/>
      <c r="AI61" s="6">
        <f t="shared" si="3"/>
        <v>-428141.5</v>
      </c>
    </row>
    <row r="62" spans="1:35" x14ac:dyDescent="0.25">
      <c r="A62" t="s">
        <v>179</v>
      </c>
      <c r="B62">
        <v>9805</v>
      </c>
      <c r="D62" s="9">
        <f t="shared" si="4"/>
        <v>0</v>
      </c>
      <c r="E62" s="182"/>
      <c r="F62" s="182"/>
      <c r="G62" s="182"/>
      <c r="H62" s="182"/>
      <c r="I62" s="184"/>
      <c r="J62" s="185"/>
      <c r="K62" s="185"/>
      <c r="L62" s="184"/>
      <c r="M62" s="185"/>
      <c r="N62" s="185"/>
      <c r="O62" s="185"/>
      <c r="P62" s="185"/>
      <c r="Q62" s="185"/>
      <c r="R62" s="185"/>
      <c r="S62" s="31">
        <f t="shared" si="0"/>
        <v>0</v>
      </c>
      <c r="U62" s="185">
        <v>458960.36</v>
      </c>
      <c r="V62" s="72"/>
      <c r="W62" s="72"/>
      <c r="X62" s="72"/>
      <c r="Y62" s="72"/>
      <c r="Z62" s="72"/>
      <c r="AA62" s="72"/>
      <c r="AB62" s="72"/>
      <c r="AC62" s="72"/>
      <c r="AD62" s="9">
        <f t="shared" si="1"/>
        <v>458960.36</v>
      </c>
      <c r="AF62" s="9">
        <f t="shared" si="2"/>
        <v>-458960.36</v>
      </c>
      <c r="AG62" s="185">
        <v>103949.88</v>
      </c>
      <c r="AH62" s="185"/>
      <c r="AI62" s="6">
        <f t="shared" si="3"/>
        <v>-355010.48</v>
      </c>
    </row>
    <row r="63" spans="1:35" x14ac:dyDescent="0.25">
      <c r="A63" t="s">
        <v>180</v>
      </c>
      <c r="B63">
        <v>9810</v>
      </c>
      <c r="D63" s="9">
        <f t="shared" si="4"/>
        <v>0</v>
      </c>
      <c r="E63" s="182"/>
      <c r="F63" s="182"/>
      <c r="G63" s="182"/>
      <c r="H63" s="182"/>
      <c r="I63" s="184"/>
      <c r="J63" s="185"/>
      <c r="K63" s="185"/>
      <c r="L63" s="184"/>
      <c r="M63" s="185"/>
      <c r="N63" s="185"/>
      <c r="O63" s="185"/>
      <c r="P63" s="185"/>
      <c r="Q63" s="185"/>
      <c r="R63" s="185"/>
      <c r="S63" s="31">
        <f t="shared" si="0"/>
        <v>0</v>
      </c>
      <c r="U63" s="185">
        <v>135012.48000000001</v>
      </c>
      <c r="V63" s="72"/>
      <c r="W63" s="72"/>
      <c r="X63" s="72"/>
      <c r="Y63" s="72"/>
      <c r="Z63" s="72"/>
      <c r="AA63" s="72"/>
      <c r="AB63" s="72"/>
      <c r="AC63" s="72"/>
      <c r="AD63" s="9">
        <f t="shared" si="1"/>
        <v>135012.48000000001</v>
      </c>
      <c r="AF63" s="9">
        <f t="shared" si="2"/>
        <v>-135012.48000000001</v>
      </c>
      <c r="AG63" s="185"/>
      <c r="AH63" s="185">
        <v>196.9</v>
      </c>
      <c r="AI63" s="6">
        <f t="shared" si="3"/>
        <v>-135209.38</v>
      </c>
    </row>
    <row r="64" spans="1:35" x14ac:dyDescent="0.25">
      <c r="A64" t="s">
        <v>73</v>
      </c>
      <c r="C64" s="9">
        <f>SUM(C7:C63)</f>
        <v>0</v>
      </c>
      <c r="D64" s="9">
        <f>SUM(D7:D63)</f>
        <v>15830729.6</v>
      </c>
      <c r="E64" s="9">
        <f t="shared" ref="E64:J64" si="5">SUM(E7:E63)</f>
        <v>11464423.08</v>
      </c>
      <c r="F64" s="9">
        <f t="shared" si="5"/>
        <v>0</v>
      </c>
      <c r="G64" s="9">
        <f t="shared" si="5"/>
        <v>147961.26999999999</v>
      </c>
      <c r="H64" s="9">
        <f t="shared" si="5"/>
        <v>143156.68</v>
      </c>
      <c r="I64" s="9">
        <f t="shared" si="5"/>
        <v>0</v>
      </c>
      <c r="J64" s="9">
        <f t="shared" si="5"/>
        <v>0</v>
      </c>
      <c r="K64" s="9">
        <f t="shared" ref="K64:AI64" si="6">SUM(K7:K63)</f>
        <v>74595.25</v>
      </c>
      <c r="L64" s="9">
        <f t="shared" si="6"/>
        <v>1433591.25</v>
      </c>
      <c r="M64" s="9">
        <f t="shared" si="6"/>
        <v>2330026.7199999997</v>
      </c>
      <c r="N64" s="9">
        <f t="shared" si="6"/>
        <v>135423.06</v>
      </c>
      <c r="O64" s="9">
        <f t="shared" si="6"/>
        <v>13659.71</v>
      </c>
      <c r="P64" s="9">
        <f t="shared" si="6"/>
        <v>38172.58</v>
      </c>
      <c r="Q64" s="9">
        <f t="shared" si="6"/>
        <v>49720</v>
      </c>
      <c r="R64" s="9">
        <f t="shared" si="6"/>
        <v>9448.61</v>
      </c>
      <c r="S64" s="9">
        <f t="shared" si="6"/>
        <v>15840178.209999999</v>
      </c>
      <c r="U64" s="9">
        <f t="shared" si="6"/>
        <v>6900360.5</v>
      </c>
      <c r="V64" s="9">
        <f t="shared" si="6"/>
        <v>3856570.4000000004</v>
      </c>
      <c r="W64" s="9">
        <f t="shared" si="6"/>
        <v>4405519.46</v>
      </c>
      <c r="X64" s="42">
        <f t="shared" si="6"/>
        <v>457124.57</v>
      </c>
      <c r="Y64" s="9">
        <f t="shared" si="6"/>
        <v>106092.83</v>
      </c>
      <c r="Z64" s="9">
        <f t="shared" si="6"/>
        <v>446354.83</v>
      </c>
      <c r="AA64" s="9">
        <f t="shared" si="6"/>
        <v>307701.96999999997</v>
      </c>
      <c r="AB64" s="9">
        <f t="shared" si="6"/>
        <v>0</v>
      </c>
      <c r="AC64" s="9">
        <f t="shared" si="6"/>
        <v>0</v>
      </c>
      <c r="AD64" s="9">
        <f t="shared" si="6"/>
        <v>16479724.559999997</v>
      </c>
      <c r="AF64" s="9">
        <f t="shared" si="6"/>
        <v>-639546.35000000114</v>
      </c>
      <c r="AG64" s="9">
        <f t="shared" si="6"/>
        <v>4347468.129999999</v>
      </c>
      <c r="AH64" s="9">
        <f t="shared" si="6"/>
        <v>1892896.9</v>
      </c>
      <c r="AI64" s="9">
        <f t="shared" si="6"/>
        <v>1815024.8799999966</v>
      </c>
    </row>
    <row r="65" spans="1:38" x14ac:dyDescent="0.25">
      <c r="E65" s="58" t="s">
        <v>316</v>
      </c>
      <c r="F65" s="31">
        <f>SUM(E64:H64)</f>
        <v>11755541.029999999</v>
      </c>
      <c r="AI65" s="9"/>
    </row>
    <row r="66" spans="1:38" x14ac:dyDescent="0.25">
      <c r="A66" t="s">
        <v>497</v>
      </c>
      <c r="B66">
        <v>2210</v>
      </c>
      <c r="M66" s="9">
        <v>-7370</v>
      </c>
      <c r="V66" s="9">
        <v>-500412</v>
      </c>
      <c r="AG66" s="9">
        <v>-335689</v>
      </c>
      <c r="AH66" s="9">
        <v>157353</v>
      </c>
      <c r="AI66" s="9"/>
    </row>
    <row r="67" spans="1:38" x14ac:dyDescent="0.25">
      <c r="A67" t="s">
        <v>498</v>
      </c>
      <c r="B67">
        <v>1155</v>
      </c>
      <c r="U67" s="9">
        <v>-708</v>
      </c>
      <c r="AG67" s="9">
        <v>2</v>
      </c>
      <c r="AI67" s="9"/>
      <c r="AJ67" s="9"/>
      <c r="AK67" s="9"/>
      <c r="AL67" s="6">
        <f>S64+AG64</f>
        <v>20187646.339999996</v>
      </c>
    </row>
    <row r="68" spans="1:38" x14ac:dyDescent="0.25">
      <c r="A68" t="s">
        <v>499</v>
      </c>
      <c r="B68">
        <v>2205</v>
      </c>
      <c r="V68" s="9">
        <v>-277</v>
      </c>
      <c r="AI68" s="9"/>
      <c r="AJ68" s="9"/>
      <c r="AK68" s="9"/>
      <c r="AL68" s="6"/>
    </row>
    <row r="69" spans="1:38" x14ac:dyDescent="0.25">
      <c r="A69" t="s">
        <v>499</v>
      </c>
      <c r="B69">
        <v>8250</v>
      </c>
      <c r="U69" s="9">
        <v>-190</v>
      </c>
      <c r="AI69" s="9"/>
      <c r="AJ69" s="9"/>
      <c r="AK69" s="9"/>
      <c r="AL69" s="6"/>
    </row>
    <row r="70" spans="1:38" x14ac:dyDescent="0.25">
      <c r="A70" t="s">
        <v>499</v>
      </c>
      <c r="B70">
        <v>9190</v>
      </c>
      <c r="U70" s="9">
        <v>-34400</v>
      </c>
      <c r="V70" s="31"/>
      <c r="AI70" s="9"/>
      <c r="AJ70" s="9"/>
      <c r="AK70" s="9"/>
      <c r="AL70" s="6"/>
    </row>
    <row r="71" spans="1:38" x14ac:dyDescent="0.25">
      <c r="A71" t="s">
        <v>500</v>
      </c>
      <c r="B71">
        <v>8260</v>
      </c>
      <c r="V71" s="9">
        <v>-16</v>
      </c>
      <c r="AI71" s="9"/>
      <c r="AJ71" s="9"/>
      <c r="AK71" s="9"/>
      <c r="AL71" s="6">
        <f>AD64+AH64</f>
        <v>18372621.459999997</v>
      </c>
    </row>
    <row r="72" spans="1:38" x14ac:dyDescent="0.25">
      <c r="A72" t="s">
        <v>501</v>
      </c>
      <c r="B72">
        <v>9710</v>
      </c>
      <c r="L72" s="9">
        <v>11375</v>
      </c>
      <c r="AI72" s="9"/>
    </row>
    <row r="73" spans="1:38" x14ac:dyDescent="0.25">
      <c r="B73">
        <v>11001105</v>
      </c>
      <c r="L73" s="9">
        <v>283321</v>
      </c>
      <c r="AI73" s="9"/>
    </row>
    <row r="74" spans="1:38" x14ac:dyDescent="0.25">
      <c r="A74" t="s">
        <v>197</v>
      </c>
      <c r="AI74" s="9"/>
    </row>
    <row r="75" spans="1:38" x14ac:dyDescent="0.25">
      <c r="A75" t="s">
        <v>198</v>
      </c>
      <c r="AI75" s="9"/>
    </row>
    <row r="76" spans="1:38" x14ac:dyDescent="0.25">
      <c r="C76" s="9">
        <f>SUM(C64:C75)</f>
        <v>0</v>
      </c>
      <c r="D76" s="9">
        <f>SUM(E76:Q76)</f>
        <v>16118055.600000001</v>
      </c>
      <c r="E76" s="9">
        <f t="shared" ref="E76:J76" si="7">SUM(E64:E75)</f>
        <v>11464423.08</v>
      </c>
      <c r="F76" s="9">
        <f>F64</f>
        <v>0</v>
      </c>
      <c r="G76" s="9">
        <f t="shared" si="7"/>
        <v>147961.26999999999</v>
      </c>
      <c r="H76" s="9">
        <f t="shared" si="7"/>
        <v>143156.68</v>
      </c>
      <c r="I76" s="9">
        <f t="shared" si="7"/>
        <v>0</v>
      </c>
      <c r="J76" s="9">
        <f t="shared" si="7"/>
        <v>0</v>
      </c>
      <c r="K76" s="9">
        <f t="shared" ref="K76:AH76" si="8">SUM(K64:K75)</f>
        <v>74595.25</v>
      </c>
      <c r="L76" s="9">
        <f t="shared" si="8"/>
        <v>1728287.25</v>
      </c>
      <c r="M76" s="9">
        <f t="shared" si="8"/>
        <v>2322656.7199999997</v>
      </c>
      <c r="N76" s="9">
        <f t="shared" si="8"/>
        <v>135423.06</v>
      </c>
      <c r="O76" s="9">
        <f t="shared" si="8"/>
        <v>13659.71</v>
      </c>
      <c r="P76" s="9">
        <f t="shared" si="8"/>
        <v>38172.58</v>
      </c>
      <c r="Q76" s="9">
        <f t="shared" si="8"/>
        <v>49720</v>
      </c>
      <c r="S76" s="9">
        <f>SUM(E76:Q76)</f>
        <v>16118055.600000001</v>
      </c>
      <c r="U76" s="9">
        <f t="shared" si="8"/>
        <v>6865062.5</v>
      </c>
      <c r="V76" s="9">
        <f t="shared" si="8"/>
        <v>3355865.4000000004</v>
      </c>
      <c r="W76" s="9">
        <f t="shared" si="8"/>
        <v>4405519.46</v>
      </c>
      <c r="X76" s="9">
        <f t="shared" si="8"/>
        <v>457124.57</v>
      </c>
      <c r="Y76" s="9">
        <f t="shared" si="8"/>
        <v>106092.83</v>
      </c>
      <c r="Z76" s="9">
        <f t="shared" si="8"/>
        <v>446354.83</v>
      </c>
      <c r="AA76" s="9">
        <f t="shared" si="8"/>
        <v>307701.96999999997</v>
      </c>
      <c r="AB76" s="9">
        <f t="shared" si="8"/>
        <v>0</v>
      </c>
      <c r="AC76" s="9">
        <f t="shared" si="8"/>
        <v>0</v>
      </c>
      <c r="AD76" s="9">
        <f>SUM(U76:AC76)</f>
        <v>15943721.560000001</v>
      </c>
      <c r="AF76" s="9">
        <f>S76-AD76</f>
        <v>174334.04000000097</v>
      </c>
      <c r="AG76" s="9">
        <f t="shared" si="8"/>
        <v>4011781.129999999</v>
      </c>
      <c r="AH76" s="9">
        <f t="shared" si="8"/>
        <v>2050249.9</v>
      </c>
      <c r="AI76" s="9">
        <f>AF76+AG76-AH76</f>
        <v>2135865.27</v>
      </c>
    </row>
    <row r="78" spans="1:38" x14ac:dyDescent="0.25">
      <c r="F78" s="64">
        <f>SUM(E76:H76)</f>
        <v>11755541.029999999</v>
      </c>
    </row>
    <row r="79" spans="1:38" x14ac:dyDescent="0.25">
      <c r="F79" s="58" t="s">
        <v>356</v>
      </c>
      <c r="J79" s="68">
        <f>I76+L76</f>
        <v>1728287.25</v>
      </c>
    </row>
    <row r="80" spans="1:38" x14ac:dyDescent="0.25">
      <c r="J80" s="58" t="s">
        <v>390</v>
      </c>
      <c r="N80" s="68">
        <f>K76+P76</f>
        <v>112767.83</v>
      </c>
    </row>
    <row r="81" spans="10:14" x14ac:dyDescent="0.25">
      <c r="J81" s="58" t="s">
        <v>391</v>
      </c>
      <c r="N81" s="58" t="s">
        <v>392</v>
      </c>
    </row>
  </sheetData>
  <customSheetViews>
    <customSheetView guid="{E68B3865-8D72-47E7-BE32-0FF7EB09E889}" scale="80" fitToPage="1">
      <pane xSplit="2" ySplit="6" topLeftCell="Q40" activePane="bottomRight" state="frozen"/>
      <selection pane="bottomRight" activeCell="AG68" sqref="AG68"/>
      <pageMargins left="0.2" right="0.35" top="0.75" bottom="0.75" header="0.3" footer="0.3"/>
      <printOptions gridLines="1"/>
      <pageSetup scale="24" orientation="landscape" r:id="rId1"/>
    </customSheetView>
    <customSheetView guid="{DE6E911D-85BF-467A-AA00-1E84C5349CF7}" scale="80" fitToPage="1">
      <pane xSplit="2" ySplit="6" topLeftCell="P43" activePane="bottomRight" state="frozen"/>
      <selection pane="bottomRight" activeCell="AA81" sqref="AA81"/>
      <pageMargins left="0.2" right="0.35" top="0.75" bottom="0.75" header="0.3" footer="0.3"/>
      <printOptions gridLines="1"/>
      <pageSetup scale="24" orientation="landscape" r:id="rId2"/>
    </customSheetView>
    <customSheetView guid="{A6F79E61-D6A3-44FD-B4A4-4724DF74349B}" showPageBreaks="1" fitToPage="1" printArea="1">
      <pane xSplit="2" ySplit="6" topLeftCell="C61" activePane="bottomRight" state="frozen"/>
      <selection pane="bottomRight" activeCell="M66" sqref="M66"/>
      <pageMargins left="0.2" right="0.35" top="0.75" bottom="0.75" header="0.3" footer="0.3"/>
      <printOptions gridLines="1"/>
      <pageSetup scale="42" orientation="landscape" horizontalDpi="1200" r:id="rId3"/>
    </customSheetView>
    <customSheetView guid="{D62C3EC3-27D1-41F3-9A4E-06307CA202CE}" fitToPage="1" showRuler="0">
      <pane xSplit="1" ySplit="6" topLeftCell="U8" activePane="bottomRight" state="frozen"/>
      <selection pane="bottomRight" activeCell="Y63" sqref="Y63"/>
      <pageMargins left="0.2" right="0.35" top="0.75" bottom="0.75" header="0.3" footer="0.3"/>
      <printOptions gridLines="1"/>
      <pageSetup paperSize="5" scale="35" orientation="landscape" horizontalDpi="1200" r:id="rId4"/>
      <headerFooter alignWithMargins="0"/>
    </customSheetView>
    <customSheetView guid="{EC03C3C8-7E57-47C6-8413-F484E8C46A0C}" showPageBreaks="1" fitToPage="1">
      <pane xSplit="1" ySplit="6" topLeftCell="W54" activePane="bottomRight" state="frozen"/>
      <selection pane="bottomRight" activeCell="AJ67" sqref="AJ67"/>
      <pageMargins left="0.2" right="0.35" top="0.75" bottom="0.75" header="0.3" footer="0.3"/>
      <printOptions gridLines="1"/>
      <pageSetup paperSize="5" scale="35" orientation="landscape" horizontalDpi="1200" r:id="rId5"/>
    </customSheetView>
    <customSheetView guid="{2B2709E2-6DF4-4CC4-88D0-056FB306137C}" scale="90" fitToPage="1">
      <pane xSplit="2" ySplit="6" topLeftCell="C7" activePane="bottomRight" state="frozen"/>
      <selection pane="bottomRight" activeCell="A19" sqref="A19"/>
      <pageMargins left="0.2" right="0.35" top="0.75" bottom="0.75" header="0.3" footer="0.3"/>
      <printOptions gridLines="1"/>
      <pageSetup paperSize="5" scale="33" orientation="landscape" horizontalDpi="1200" r:id="rId6"/>
    </customSheetView>
  </customSheetViews>
  <phoneticPr fontId="0" type="noConversion"/>
  <printOptions gridLines="1"/>
  <pageMargins left="0.2" right="0.35" top="0.75" bottom="0.75" header="0.3" footer="0.3"/>
  <pageSetup scale="24" orientation="landscape" r:id="rId7"/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9"/>
  <sheetViews>
    <sheetView zoomScale="90" zoomScaleNormal="90" workbookViewId="0">
      <pane xSplit="1" ySplit="5" topLeftCell="B20" activePane="bottomRight" state="frozen"/>
      <selection pane="topRight" activeCell="B1" sqref="B1"/>
      <selection pane="bottomLeft" activeCell="A6" sqref="A6"/>
      <selection pane="bottomRight" activeCell="C31" sqref="C31"/>
    </sheetView>
  </sheetViews>
  <sheetFormatPr defaultRowHeight="15" x14ac:dyDescent="0.25"/>
  <cols>
    <col min="1" max="1" width="32.42578125" customWidth="1"/>
    <col min="2" max="2" width="13.5703125" style="17" bestFit="1" customWidth="1"/>
    <col min="3" max="3" width="15.7109375" style="17" bestFit="1" customWidth="1"/>
    <col min="4" max="4" width="12.7109375" style="17" customWidth="1"/>
    <col min="5" max="5" width="13.5703125" style="17" bestFit="1" customWidth="1"/>
    <col min="6" max="7" width="13.5703125" style="17" customWidth="1"/>
    <col min="8" max="8" width="13.5703125" style="17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219</v>
      </c>
    </row>
    <row r="2" spans="1:15" x14ac:dyDescent="0.25">
      <c r="A2" t="s">
        <v>1</v>
      </c>
    </row>
    <row r="3" spans="1:15" x14ac:dyDescent="0.25">
      <c r="A3" s="1">
        <f>'ALL GOVERNMENT FUNDS'!A3</f>
        <v>43830</v>
      </c>
      <c r="C3" s="17" t="s">
        <v>240</v>
      </c>
    </row>
    <row r="4" spans="1:15" x14ac:dyDescent="0.25">
      <c r="A4" s="1"/>
    </row>
    <row r="5" spans="1:15" ht="45" x14ac:dyDescent="0.25">
      <c r="A5" s="1"/>
      <c r="B5" s="18" t="s">
        <v>220</v>
      </c>
      <c r="C5" s="18" t="s">
        <v>221</v>
      </c>
      <c r="D5" s="18" t="s">
        <v>222</v>
      </c>
      <c r="E5" s="18" t="s">
        <v>294</v>
      </c>
      <c r="F5" s="18" t="s">
        <v>309</v>
      </c>
      <c r="G5" s="18" t="s">
        <v>310</v>
      </c>
      <c r="H5" s="18" t="s">
        <v>223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20">
        <v>-139518</v>
      </c>
      <c r="C8" s="20">
        <v>0</v>
      </c>
      <c r="D8" s="20">
        <v>0</v>
      </c>
      <c r="E8" s="20">
        <v>0</v>
      </c>
      <c r="F8" s="20"/>
      <c r="G8" s="109">
        <f>E8+F8</f>
        <v>0</v>
      </c>
      <c r="H8" s="17">
        <f t="shared" ref="H8:H32" si="0">SUM(B8+C8+D8+G8)</f>
        <v>-139518</v>
      </c>
    </row>
    <row r="9" spans="1:15" x14ac:dyDescent="0.25">
      <c r="A9" s="4" t="s">
        <v>4</v>
      </c>
      <c r="B9" s="20"/>
      <c r="C9" s="20"/>
      <c r="D9" s="20"/>
      <c r="E9" s="20"/>
      <c r="F9" s="20"/>
      <c r="G9" s="25">
        <f t="shared" ref="G9:G65" si="1">E9+F9</f>
        <v>0</v>
      </c>
      <c r="H9" s="17">
        <f t="shared" si="0"/>
        <v>0</v>
      </c>
    </row>
    <row r="10" spans="1:15" x14ac:dyDescent="0.25">
      <c r="A10" s="4" t="s">
        <v>6</v>
      </c>
      <c r="B10" s="20"/>
      <c r="C10" s="20"/>
      <c r="D10" s="20"/>
      <c r="E10" s="20"/>
      <c r="F10" s="20"/>
      <c r="G10" s="25">
        <f t="shared" si="1"/>
        <v>0</v>
      </c>
      <c r="H10" s="17">
        <f t="shared" si="0"/>
        <v>0</v>
      </c>
    </row>
    <row r="11" spans="1:15" x14ac:dyDescent="0.25">
      <c r="A11" s="4" t="s">
        <v>5</v>
      </c>
      <c r="B11" s="20"/>
      <c r="C11" s="20"/>
      <c r="D11" s="20"/>
      <c r="E11" s="20"/>
      <c r="F11" s="20"/>
      <c r="G11" s="25">
        <f t="shared" si="1"/>
        <v>0</v>
      </c>
      <c r="H11" s="17">
        <f t="shared" si="0"/>
        <v>0</v>
      </c>
    </row>
    <row r="12" spans="1:15" x14ac:dyDescent="0.25">
      <c r="A12" s="4" t="s">
        <v>61</v>
      </c>
      <c r="B12" s="20"/>
      <c r="C12" s="20"/>
      <c r="D12" s="20"/>
      <c r="E12" s="20"/>
      <c r="F12" s="20"/>
      <c r="G12" s="25">
        <f t="shared" si="1"/>
        <v>0</v>
      </c>
      <c r="H12" s="17">
        <f t="shared" si="0"/>
        <v>0</v>
      </c>
    </row>
    <row r="13" spans="1:15" x14ac:dyDescent="0.25">
      <c r="A13" s="4" t="s">
        <v>358</v>
      </c>
      <c r="B13" s="20"/>
      <c r="C13" s="20"/>
      <c r="D13" s="20"/>
      <c r="E13" s="20"/>
      <c r="F13" s="20"/>
      <c r="G13" s="25">
        <f t="shared" si="1"/>
        <v>0</v>
      </c>
      <c r="H13" s="17">
        <f>SUM(B13+C13+D13+G13)</f>
        <v>0</v>
      </c>
    </row>
    <row r="14" spans="1:15" x14ac:dyDescent="0.25">
      <c r="A14" s="2" t="s">
        <v>7</v>
      </c>
      <c r="B14" s="17">
        <f>SUM(B8:B13)</f>
        <v>-139518</v>
      </c>
      <c r="C14" s="17">
        <f>SUM(C8:C13)</f>
        <v>0</v>
      </c>
      <c r="D14" s="17">
        <f>SUM(D8:D13)</f>
        <v>0</v>
      </c>
      <c r="E14" s="17">
        <f>SUM(E8:E13)</f>
        <v>0</v>
      </c>
      <c r="F14" s="17">
        <f>SUM(F8:F13)</f>
        <v>0</v>
      </c>
      <c r="G14" s="25">
        <f t="shared" si="1"/>
        <v>0</v>
      </c>
      <c r="H14" s="17">
        <f t="shared" si="0"/>
        <v>-139518</v>
      </c>
    </row>
    <row r="15" spans="1:15" x14ac:dyDescent="0.25">
      <c r="G15" s="25"/>
    </row>
    <row r="16" spans="1:15" x14ac:dyDescent="0.25">
      <c r="A16" s="3" t="s">
        <v>8</v>
      </c>
      <c r="G16" s="25"/>
    </row>
    <row r="17" spans="1:8" x14ac:dyDescent="0.25">
      <c r="A17" s="4" t="s">
        <v>9</v>
      </c>
      <c r="B17" s="20"/>
      <c r="C17" s="20"/>
      <c r="D17" s="20"/>
      <c r="E17" s="20"/>
      <c r="F17" s="20"/>
      <c r="G17" s="25">
        <f t="shared" si="1"/>
        <v>0</v>
      </c>
      <c r="H17" s="17">
        <f t="shared" si="0"/>
        <v>0</v>
      </c>
    </row>
    <row r="18" spans="1:8" x14ac:dyDescent="0.25">
      <c r="A18" s="4" t="s">
        <v>10</v>
      </c>
      <c r="B18" s="20"/>
      <c r="C18" s="20"/>
      <c r="D18" s="20"/>
      <c r="E18" s="20"/>
      <c r="F18" s="20"/>
      <c r="G18" s="25">
        <f t="shared" si="1"/>
        <v>0</v>
      </c>
      <c r="H18" s="17">
        <f t="shared" si="0"/>
        <v>0</v>
      </c>
    </row>
    <row r="19" spans="1:8" x14ac:dyDescent="0.25">
      <c r="A19" s="4" t="s">
        <v>11</v>
      </c>
      <c r="B19" s="20"/>
      <c r="C19" s="20"/>
      <c r="D19" s="20"/>
      <c r="E19" s="20"/>
      <c r="F19" s="20"/>
      <c r="G19" s="25">
        <f t="shared" si="1"/>
        <v>0</v>
      </c>
      <c r="H19" s="17">
        <f t="shared" si="0"/>
        <v>0</v>
      </c>
    </row>
    <row r="20" spans="1:8" x14ac:dyDescent="0.25">
      <c r="A20" s="4" t="s">
        <v>12</v>
      </c>
      <c r="B20" s="20"/>
      <c r="C20" s="20"/>
      <c r="D20" s="20"/>
      <c r="E20" s="20"/>
      <c r="F20" s="20"/>
      <c r="G20" s="25">
        <f t="shared" si="1"/>
        <v>0</v>
      </c>
      <c r="H20" s="17">
        <f t="shared" si="0"/>
        <v>0</v>
      </c>
    </row>
    <row r="21" spans="1:8" x14ac:dyDescent="0.25">
      <c r="A21" s="2" t="s">
        <v>13</v>
      </c>
      <c r="B21" s="17">
        <f>SUM(B17:B20)</f>
        <v>0</v>
      </c>
      <c r="C21" s="17">
        <f>SUM(C17:C20)</f>
        <v>0</v>
      </c>
      <c r="D21" s="17">
        <f>SUM(D17:D20)</f>
        <v>0</v>
      </c>
      <c r="E21" s="17">
        <f>SUM(E17:E20)</f>
        <v>0</v>
      </c>
      <c r="F21" s="17">
        <f>SUM(F17:F20)</f>
        <v>0</v>
      </c>
      <c r="G21" s="25">
        <f t="shared" si="1"/>
        <v>0</v>
      </c>
      <c r="H21" s="17">
        <f t="shared" si="0"/>
        <v>0</v>
      </c>
    </row>
    <row r="22" spans="1:8" x14ac:dyDescent="0.25">
      <c r="G22" s="25"/>
    </row>
    <row r="23" spans="1:8" x14ac:dyDescent="0.25">
      <c r="A23" s="65" t="s">
        <v>347</v>
      </c>
      <c r="G23" s="25"/>
    </row>
    <row r="24" spans="1:8" x14ac:dyDescent="0.25">
      <c r="A24" t="s">
        <v>352</v>
      </c>
      <c r="B24" s="20"/>
      <c r="C24" s="20"/>
      <c r="D24" s="20"/>
      <c r="E24" s="20"/>
      <c r="F24" s="20"/>
      <c r="G24" s="25">
        <f t="shared" si="1"/>
        <v>0</v>
      </c>
      <c r="H24" s="17">
        <f t="shared" si="0"/>
        <v>0</v>
      </c>
    </row>
    <row r="25" spans="1:8" x14ac:dyDescent="0.25">
      <c r="A25" t="s">
        <v>353</v>
      </c>
      <c r="B25" s="20"/>
      <c r="C25" s="20"/>
      <c r="D25" s="20"/>
      <c r="E25" s="20"/>
      <c r="F25" s="20"/>
      <c r="G25" s="25">
        <f t="shared" si="1"/>
        <v>0</v>
      </c>
      <c r="H25" s="17">
        <f t="shared" si="0"/>
        <v>0</v>
      </c>
    </row>
    <row r="26" spans="1:8" x14ac:dyDescent="0.25">
      <c r="A26" s="66" t="s">
        <v>354</v>
      </c>
      <c r="B26" s="17">
        <f>SUM(B24:B25)</f>
        <v>0</v>
      </c>
      <c r="C26" s="17">
        <f>SUM(C24:C25)</f>
        <v>0</v>
      </c>
      <c r="D26" s="17">
        <f>SUM(D24:D25)</f>
        <v>0</v>
      </c>
      <c r="E26" s="17">
        <f>SUM(E24:E25)</f>
        <v>0</v>
      </c>
      <c r="F26" s="17">
        <f>SUM(F24:F25)</f>
        <v>0</v>
      </c>
      <c r="G26" s="25">
        <f t="shared" si="1"/>
        <v>0</v>
      </c>
      <c r="H26" s="17">
        <f t="shared" si="0"/>
        <v>0</v>
      </c>
    </row>
    <row r="27" spans="1:8" x14ac:dyDescent="0.25">
      <c r="G27" s="25"/>
    </row>
    <row r="28" spans="1:8" x14ac:dyDescent="0.25">
      <c r="A28" s="3" t="s">
        <v>14</v>
      </c>
      <c r="G28" s="25"/>
    </row>
    <row r="29" spans="1:8" x14ac:dyDescent="0.25">
      <c r="A29" s="4" t="s">
        <v>15</v>
      </c>
      <c r="B29" s="20"/>
      <c r="C29" s="20"/>
      <c r="D29" s="20"/>
      <c r="E29" s="20"/>
      <c r="F29" s="20"/>
      <c r="G29" s="25">
        <f t="shared" si="1"/>
        <v>0</v>
      </c>
      <c r="H29" s="17">
        <f t="shared" si="0"/>
        <v>0</v>
      </c>
    </row>
    <row r="30" spans="1:8" x14ac:dyDescent="0.25">
      <c r="A30" s="4" t="s">
        <v>16</v>
      </c>
      <c r="B30" s="20"/>
      <c r="C30" s="20"/>
      <c r="D30" s="20"/>
      <c r="E30" s="20"/>
      <c r="F30" s="20"/>
      <c r="G30" s="25">
        <f t="shared" si="1"/>
        <v>0</v>
      </c>
      <c r="H30" s="17">
        <f t="shared" si="0"/>
        <v>0</v>
      </c>
    </row>
    <row r="31" spans="1:8" x14ac:dyDescent="0.25">
      <c r="A31" s="4" t="s">
        <v>17</v>
      </c>
      <c r="B31" s="20">
        <v>-139518</v>
      </c>
      <c r="C31" s="20"/>
      <c r="D31" s="20"/>
      <c r="E31" s="20"/>
      <c r="F31" s="20"/>
      <c r="G31" s="25">
        <f t="shared" si="1"/>
        <v>0</v>
      </c>
      <c r="H31" s="17">
        <f t="shared" si="0"/>
        <v>-139518</v>
      </c>
    </row>
    <row r="32" spans="1:8" x14ac:dyDescent="0.25">
      <c r="A32" s="2" t="s">
        <v>18</v>
      </c>
      <c r="B32" s="17">
        <f>SUM(B29:B31)</f>
        <v>-139518</v>
      </c>
      <c r="C32" s="17">
        <f>SUM(C29:C31)</f>
        <v>0</v>
      </c>
      <c r="D32" s="17">
        <f>SUM(D29:D31)</f>
        <v>0</v>
      </c>
      <c r="E32" s="17">
        <f>SUM(E29:E31)</f>
        <v>0</v>
      </c>
      <c r="F32" s="17">
        <f>SUM(F29:F31)</f>
        <v>0</v>
      </c>
      <c r="G32" s="25">
        <f t="shared" si="1"/>
        <v>0</v>
      </c>
      <c r="H32" s="17">
        <f t="shared" si="0"/>
        <v>-139518</v>
      </c>
    </row>
    <row r="33" spans="1:8" x14ac:dyDescent="0.25">
      <c r="G33" s="25"/>
    </row>
    <row r="34" spans="1:8" x14ac:dyDescent="0.25">
      <c r="A34" s="2" t="s">
        <v>19</v>
      </c>
      <c r="B34" s="17">
        <f>B21+B26+B32</f>
        <v>-139518</v>
      </c>
      <c r="C34" s="17">
        <f t="shared" ref="C34:H34" si="2">C21+C26+C32</f>
        <v>0</v>
      </c>
      <c r="D34" s="17">
        <f t="shared" si="2"/>
        <v>0</v>
      </c>
      <c r="E34" s="17">
        <f t="shared" si="2"/>
        <v>0</v>
      </c>
      <c r="F34" s="17">
        <f t="shared" si="2"/>
        <v>0</v>
      </c>
      <c r="G34" s="17">
        <f t="shared" si="2"/>
        <v>0</v>
      </c>
      <c r="H34" s="17">
        <f t="shared" si="2"/>
        <v>-139518</v>
      </c>
    </row>
    <row r="35" spans="1:8" x14ac:dyDescent="0.25">
      <c r="B35" s="53" t="str">
        <f t="shared" ref="B35:H35" si="3">IF(B14=B34,"YES","NO")</f>
        <v>YES</v>
      </c>
      <c r="C35" s="53" t="str">
        <f t="shared" si="3"/>
        <v>YES</v>
      </c>
      <c r="D35" s="53" t="str">
        <f t="shared" si="3"/>
        <v>YES</v>
      </c>
      <c r="E35" s="53" t="str">
        <f t="shared" si="3"/>
        <v>YES</v>
      </c>
      <c r="F35" s="53" t="str">
        <f t="shared" si="3"/>
        <v>YES</v>
      </c>
      <c r="G35" s="53" t="str">
        <f t="shared" si="3"/>
        <v>YES</v>
      </c>
      <c r="H35" s="53" t="str">
        <f t="shared" si="3"/>
        <v>YES</v>
      </c>
    </row>
    <row r="36" spans="1:8" x14ac:dyDescent="0.25">
      <c r="A36" s="3" t="s">
        <v>20</v>
      </c>
      <c r="G36" s="25"/>
    </row>
    <row r="37" spans="1:8" x14ac:dyDescent="0.25">
      <c r="A37" s="4" t="s">
        <v>21</v>
      </c>
      <c r="B37" s="20"/>
      <c r="C37" s="20"/>
      <c r="D37" s="20"/>
      <c r="E37" s="20"/>
      <c r="F37" s="20"/>
      <c r="G37" s="25">
        <f t="shared" si="1"/>
        <v>0</v>
      </c>
      <c r="H37" s="17">
        <f>SUM(B37:F37)</f>
        <v>0</v>
      </c>
    </row>
    <row r="38" spans="1:8" x14ac:dyDescent="0.25">
      <c r="A38" s="4" t="s">
        <v>22</v>
      </c>
      <c r="B38" s="20"/>
      <c r="C38" s="20"/>
      <c r="D38" s="20"/>
      <c r="E38" s="20"/>
      <c r="F38" s="20"/>
      <c r="G38" s="25">
        <f t="shared" si="1"/>
        <v>0</v>
      </c>
      <c r="H38" s="17">
        <f t="shared" ref="H38:H69" si="4">SUM(B38:F38)</f>
        <v>0</v>
      </c>
    </row>
    <row r="39" spans="1:8" x14ac:dyDescent="0.25">
      <c r="A39" s="4" t="s">
        <v>117</v>
      </c>
      <c r="B39" s="20"/>
      <c r="C39" s="20"/>
      <c r="D39" s="20"/>
      <c r="E39" s="20"/>
      <c r="F39" s="20"/>
      <c r="G39" s="25">
        <f t="shared" si="1"/>
        <v>0</v>
      </c>
      <c r="H39" s="17">
        <f t="shared" si="4"/>
        <v>0</v>
      </c>
    </row>
    <row r="40" spans="1:8" x14ac:dyDescent="0.25">
      <c r="A40" s="4" t="s">
        <v>23</v>
      </c>
      <c r="B40" s="20">
        <v>322.43</v>
      </c>
      <c r="C40" s="20">
        <v>247.31</v>
      </c>
      <c r="D40" s="20"/>
      <c r="E40" s="20">
        <v>1.1000000000000001</v>
      </c>
      <c r="F40" s="20"/>
      <c r="G40" s="25">
        <f t="shared" si="1"/>
        <v>1.1000000000000001</v>
      </c>
      <c r="H40" s="17">
        <f t="shared" si="4"/>
        <v>570.84</v>
      </c>
    </row>
    <row r="41" spans="1:8" x14ac:dyDescent="0.25">
      <c r="A41" s="4" t="s">
        <v>117</v>
      </c>
      <c r="B41" s="20"/>
      <c r="C41" s="20"/>
      <c r="D41" s="20"/>
      <c r="E41" s="20"/>
      <c r="F41" s="20"/>
      <c r="G41" s="25">
        <f>E41+F41</f>
        <v>0</v>
      </c>
      <c r="H41" s="17">
        <f>SUM(B41:F41)</f>
        <v>0</v>
      </c>
    </row>
    <row r="42" spans="1:8" x14ac:dyDescent="0.25">
      <c r="A42" s="4" t="s">
        <v>24</v>
      </c>
      <c r="B42" s="20"/>
      <c r="C42" s="20"/>
      <c r="D42" s="20"/>
      <c r="E42" s="20"/>
      <c r="F42" s="20"/>
      <c r="G42" s="25">
        <f t="shared" si="1"/>
        <v>0</v>
      </c>
      <c r="H42" s="17">
        <f t="shared" si="4"/>
        <v>0</v>
      </c>
    </row>
    <row r="43" spans="1:8" x14ac:dyDescent="0.25">
      <c r="A43" s="2" t="s">
        <v>25</v>
      </c>
      <c r="B43" s="17">
        <f t="shared" ref="B43:G43" si="5">SUM(B37:B42)</f>
        <v>322.43</v>
      </c>
      <c r="C43" s="17">
        <f t="shared" si="5"/>
        <v>247.31</v>
      </c>
      <c r="D43" s="17">
        <f t="shared" si="5"/>
        <v>0</v>
      </c>
      <c r="E43" s="17">
        <f t="shared" si="5"/>
        <v>1.1000000000000001</v>
      </c>
      <c r="F43" s="17">
        <f t="shared" si="5"/>
        <v>0</v>
      </c>
      <c r="G43" s="17">
        <f t="shared" si="5"/>
        <v>1.1000000000000001</v>
      </c>
      <c r="H43" s="17">
        <f t="shared" si="4"/>
        <v>570.84</v>
      </c>
    </row>
    <row r="44" spans="1:8" x14ac:dyDescent="0.25">
      <c r="G44" s="25"/>
    </row>
    <row r="45" spans="1:8" x14ac:dyDescent="0.25">
      <c r="A45" s="3" t="s">
        <v>26</v>
      </c>
      <c r="G45" s="25"/>
    </row>
    <row r="46" spans="1:8" x14ac:dyDescent="0.25">
      <c r="A46" s="4" t="s">
        <v>27</v>
      </c>
      <c r="B46" s="20">
        <v>382039</v>
      </c>
      <c r="C46" s="55"/>
      <c r="D46" s="20"/>
      <c r="E46" s="55"/>
      <c r="F46" s="20"/>
      <c r="G46" s="25">
        <f t="shared" si="1"/>
        <v>0</v>
      </c>
      <c r="H46" s="17">
        <f t="shared" si="4"/>
        <v>382039</v>
      </c>
    </row>
    <row r="47" spans="1:8" x14ac:dyDescent="0.25">
      <c r="A47" s="4" t="s">
        <v>28</v>
      </c>
      <c r="B47" s="20"/>
      <c r="C47" s="55"/>
      <c r="D47" s="20"/>
      <c r="E47" s="55"/>
      <c r="F47" s="20"/>
      <c r="G47" s="25">
        <f t="shared" si="1"/>
        <v>0</v>
      </c>
      <c r="H47" s="17">
        <f t="shared" si="4"/>
        <v>0</v>
      </c>
    </row>
    <row r="48" spans="1:8" x14ac:dyDescent="0.25">
      <c r="A48" s="4" t="s">
        <v>29</v>
      </c>
      <c r="B48" s="20"/>
      <c r="C48" s="55"/>
      <c r="D48" s="20"/>
      <c r="E48" s="55"/>
      <c r="F48" s="20"/>
      <c r="G48" s="25">
        <f t="shared" si="1"/>
        <v>0</v>
      </c>
      <c r="H48" s="17">
        <f t="shared" si="4"/>
        <v>0</v>
      </c>
    </row>
    <row r="49" spans="1:8" x14ac:dyDescent="0.25">
      <c r="A49" s="4" t="s">
        <v>30</v>
      </c>
      <c r="B49" s="20"/>
      <c r="C49" s="55"/>
      <c r="D49" s="20"/>
      <c r="E49" s="55"/>
      <c r="F49" s="20"/>
      <c r="G49" s="25">
        <f t="shared" si="1"/>
        <v>0</v>
      </c>
      <c r="H49" s="17">
        <f t="shared" si="4"/>
        <v>0</v>
      </c>
    </row>
    <row r="50" spans="1:8" x14ac:dyDescent="0.25">
      <c r="A50" s="4" t="s">
        <v>31</v>
      </c>
      <c r="B50" s="20"/>
      <c r="C50" s="55"/>
      <c r="D50" s="20"/>
      <c r="E50" s="55"/>
      <c r="F50" s="20"/>
      <c r="G50" s="25">
        <f t="shared" si="1"/>
        <v>0</v>
      </c>
      <c r="H50" s="17">
        <f t="shared" si="4"/>
        <v>0</v>
      </c>
    </row>
    <row r="51" spans="1:8" x14ac:dyDescent="0.25">
      <c r="A51" s="4" t="s">
        <v>62</v>
      </c>
      <c r="B51" s="20"/>
      <c r="C51" s="55"/>
      <c r="D51" s="20"/>
      <c r="E51" s="55"/>
      <c r="F51" s="20"/>
      <c r="G51" s="25">
        <f t="shared" si="1"/>
        <v>0</v>
      </c>
      <c r="H51" s="17">
        <f t="shared" si="4"/>
        <v>0</v>
      </c>
    </row>
    <row r="52" spans="1:8" x14ac:dyDescent="0.25">
      <c r="A52" s="4" t="s">
        <v>228</v>
      </c>
      <c r="B52" s="20"/>
      <c r="C52" s="55"/>
      <c r="D52" s="20"/>
      <c r="E52" s="55"/>
      <c r="F52" s="20"/>
      <c r="G52" s="25">
        <f t="shared" si="1"/>
        <v>0</v>
      </c>
      <c r="H52" s="17">
        <f t="shared" si="4"/>
        <v>0</v>
      </c>
    </row>
    <row r="53" spans="1:8" x14ac:dyDescent="0.25">
      <c r="A53" s="4" t="s">
        <v>202</v>
      </c>
      <c r="B53" s="20">
        <f>551436-382039-169397</f>
        <v>0</v>
      </c>
      <c r="C53" s="55"/>
      <c r="D53" s="20"/>
      <c r="E53" s="55"/>
      <c r="F53" s="20"/>
      <c r="G53" s="25">
        <f t="shared" si="1"/>
        <v>0</v>
      </c>
      <c r="H53" s="17">
        <f t="shared" si="4"/>
        <v>0</v>
      </c>
    </row>
    <row r="54" spans="1:8" x14ac:dyDescent="0.25">
      <c r="A54" s="4" t="s">
        <v>149</v>
      </c>
      <c r="B54" s="20">
        <v>169397</v>
      </c>
      <c r="C54" s="20"/>
      <c r="D54" s="20">
        <v>419150</v>
      </c>
      <c r="E54" s="20"/>
      <c r="F54" s="20"/>
      <c r="G54" s="25">
        <f t="shared" si="1"/>
        <v>0</v>
      </c>
      <c r="H54" s="17">
        <f t="shared" si="4"/>
        <v>588547</v>
      </c>
    </row>
    <row r="55" spans="1:8" x14ac:dyDescent="0.25">
      <c r="A55" s="2" t="s">
        <v>32</v>
      </c>
      <c r="B55" s="17">
        <f>SUM(B46:B54)</f>
        <v>551436</v>
      </c>
      <c r="C55" s="17">
        <f>SUM(C46:C54)</f>
        <v>0</v>
      </c>
      <c r="D55" s="17">
        <f>SUM(D46:D54)</f>
        <v>419150</v>
      </c>
      <c r="E55" s="17">
        <f>SUM(E46:E54)</f>
        <v>0</v>
      </c>
      <c r="F55" s="17">
        <f>SUM(F46:F54)</f>
        <v>0</v>
      </c>
      <c r="G55" s="25">
        <f t="shared" si="1"/>
        <v>0</v>
      </c>
      <c r="H55" s="17">
        <f t="shared" si="4"/>
        <v>970586</v>
      </c>
    </row>
    <row r="56" spans="1:8" x14ac:dyDescent="0.25">
      <c r="G56" s="25"/>
    </row>
    <row r="57" spans="1:8" x14ac:dyDescent="0.25">
      <c r="A57" s="2" t="s">
        <v>33</v>
      </c>
      <c r="B57" s="17">
        <f>B43-B55</f>
        <v>-551113.56999999995</v>
      </c>
      <c r="C57" s="17">
        <f>C43-C55</f>
        <v>247.31</v>
      </c>
      <c r="D57" s="17">
        <f>D43-D55</f>
        <v>-419150</v>
      </c>
      <c r="E57" s="17">
        <f>E43-E55</f>
        <v>1.1000000000000001</v>
      </c>
      <c r="F57" s="17">
        <f>F43-F55</f>
        <v>0</v>
      </c>
      <c r="G57" s="25">
        <f t="shared" si="1"/>
        <v>1.1000000000000001</v>
      </c>
      <c r="H57" s="17">
        <f t="shared" si="4"/>
        <v>-970015.15999999992</v>
      </c>
    </row>
    <row r="58" spans="1:8" x14ac:dyDescent="0.25">
      <c r="G58" s="25"/>
    </row>
    <row r="59" spans="1:8" x14ac:dyDescent="0.25">
      <c r="A59" t="s">
        <v>300</v>
      </c>
      <c r="B59" s="20"/>
      <c r="C59" s="20"/>
      <c r="D59" s="20"/>
      <c r="E59" s="20"/>
      <c r="F59" s="20"/>
      <c r="G59" s="25">
        <f t="shared" si="1"/>
        <v>0</v>
      </c>
      <c r="H59" s="17">
        <f t="shared" si="4"/>
        <v>0</v>
      </c>
    </row>
    <row r="60" spans="1:8" x14ac:dyDescent="0.25">
      <c r="A60" t="s">
        <v>396</v>
      </c>
      <c r="B60" s="20">
        <v>551436</v>
      </c>
      <c r="C60" s="20"/>
      <c r="D60" s="20"/>
      <c r="E60" s="20"/>
      <c r="F60" s="20"/>
      <c r="G60" s="25">
        <f t="shared" si="1"/>
        <v>0</v>
      </c>
      <c r="H60" s="17">
        <f t="shared" si="4"/>
        <v>551436</v>
      </c>
    </row>
    <row r="61" spans="1:8" x14ac:dyDescent="0.25">
      <c r="A61" t="s">
        <v>374</v>
      </c>
      <c r="B61" s="20"/>
      <c r="C61" s="20"/>
      <c r="D61" s="20"/>
      <c r="E61" s="20"/>
      <c r="F61" s="20"/>
      <c r="G61" s="25">
        <f t="shared" si="1"/>
        <v>0</v>
      </c>
      <c r="H61" s="17">
        <f t="shared" si="4"/>
        <v>0</v>
      </c>
    </row>
    <row r="62" spans="1:8" x14ac:dyDescent="0.25">
      <c r="A62" t="s">
        <v>375</v>
      </c>
      <c r="B62" s="20"/>
      <c r="C62" s="20"/>
      <c r="D62" s="20"/>
      <c r="E62" s="20"/>
      <c r="F62" s="20"/>
      <c r="G62" s="25">
        <f t="shared" si="1"/>
        <v>0</v>
      </c>
      <c r="H62" s="17">
        <f t="shared" si="4"/>
        <v>0</v>
      </c>
    </row>
    <row r="63" spans="1:8" x14ac:dyDescent="0.25">
      <c r="A63" t="s">
        <v>34</v>
      </c>
      <c r="B63" s="20">
        <v>280842.94</v>
      </c>
      <c r="C63" s="20">
        <v>419150</v>
      </c>
      <c r="D63" s="20"/>
      <c r="E63" s="20"/>
      <c r="F63" s="20"/>
      <c r="G63" s="25">
        <f t="shared" si="1"/>
        <v>0</v>
      </c>
      <c r="H63" s="17">
        <f t="shared" si="4"/>
        <v>699992.94</v>
      </c>
    </row>
    <row r="64" spans="1:8" x14ac:dyDescent="0.25">
      <c r="A64" t="s">
        <v>35</v>
      </c>
      <c r="B64" s="20">
        <v>391169.51</v>
      </c>
      <c r="C64" s="20">
        <v>280841.84000000003</v>
      </c>
      <c r="D64" s="20"/>
      <c r="E64" s="20">
        <v>1.1000000000000001</v>
      </c>
      <c r="F64" s="20"/>
      <c r="G64" s="25">
        <f t="shared" si="1"/>
        <v>1.1000000000000001</v>
      </c>
      <c r="H64" s="17">
        <f t="shared" si="4"/>
        <v>672012.45000000007</v>
      </c>
    </row>
    <row r="65" spans="1:8" x14ac:dyDescent="0.25">
      <c r="A65" s="2" t="s">
        <v>36</v>
      </c>
      <c r="B65" s="17">
        <f>B59+B60+B61+B62+B63-B64</f>
        <v>441109.42999999993</v>
      </c>
      <c r="C65" s="17">
        <f>C59+C60+C61+C62+C63-C64</f>
        <v>138308.15999999997</v>
      </c>
      <c r="D65" s="17">
        <f>D59+D60+D61+D62+D63-D64</f>
        <v>0</v>
      </c>
      <c r="E65" s="17">
        <f>E59+E60+E61+E62+E63-E64</f>
        <v>-1.1000000000000001</v>
      </c>
      <c r="F65" s="17">
        <f>F59+F60+F61+F62+F63-F64</f>
        <v>0</v>
      </c>
      <c r="G65" s="25">
        <f t="shared" si="1"/>
        <v>-1.1000000000000001</v>
      </c>
      <c r="H65" s="17">
        <f>H59+H60+H61+H62+H63-H64</f>
        <v>579416.48999999987</v>
      </c>
    </row>
    <row r="66" spans="1:8" x14ac:dyDescent="0.25">
      <c r="G66" s="25"/>
    </row>
    <row r="67" spans="1:8" x14ac:dyDescent="0.25">
      <c r="A67" s="2" t="s">
        <v>37</v>
      </c>
      <c r="B67" s="17">
        <f t="shared" ref="B67:G67" si="6">B57+B65</f>
        <v>-110004.14000000001</v>
      </c>
      <c r="C67" s="17">
        <f t="shared" si="6"/>
        <v>138555.46999999997</v>
      </c>
      <c r="D67" s="17">
        <f t="shared" si="6"/>
        <v>-419150</v>
      </c>
      <c r="E67" s="17">
        <f t="shared" si="6"/>
        <v>0</v>
      </c>
      <c r="F67" s="17">
        <f t="shared" si="6"/>
        <v>0</v>
      </c>
      <c r="G67" s="17">
        <f t="shared" si="6"/>
        <v>0</v>
      </c>
      <c r="H67" s="17">
        <f t="shared" si="4"/>
        <v>-390598.67000000004</v>
      </c>
    </row>
    <row r="68" spans="1:8" x14ac:dyDescent="0.25">
      <c r="A68" t="s">
        <v>38</v>
      </c>
      <c r="B68" s="17">
        <f t="shared" ref="B68:G68" si="7">B69-B67</f>
        <v>-29513.859999999986</v>
      </c>
      <c r="C68" s="17">
        <f t="shared" si="7"/>
        <v>-138555.46999999997</v>
      </c>
      <c r="D68" s="17">
        <f t="shared" si="7"/>
        <v>419150</v>
      </c>
      <c r="E68" s="17">
        <f t="shared" si="7"/>
        <v>0</v>
      </c>
      <c r="F68" s="17">
        <f t="shared" si="7"/>
        <v>0</v>
      </c>
      <c r="G68" s="17">
        <f t="shared" si="7"/>
        <v>0</v>
      </c>
      <c r="H68" s="17">
        <f t="shared" si="4"/>
        <v>251080.67000000004</v>
      </c>
    </row>
    <row r="69" spans="1:8" x14ac:dyDescent="0.25">
      <c r="A69" s="2" t="s">
        <v>39</v>
      </c>
      <c r="B69" s="17">
        <f t="shared" ref="B69:G69" si="8">B32</f>
        <v>-139518</v>
      </c>
      <c r="C69" s="17">
        <f t="shared" si="8"/>
        <v>0</v>
      </c>
      <c r="D69" s="17">
        <f t="shared" si="8"/>
        <v>0</v>
      </c>
      <c r="E69" s="17">
        <f t="shared" si="8"/>
        <v>0</v>
      </c>
      <c r="F69" s="17">
        <f t="shared" si="8"/>
        <v>0</v>
      </c>
      <c r="G69" s="17">
        <f t="shared" si="8"/>
        <v>0</v>
      </c>
      <c r="H69" s="17">
        <f t="shared" si="4"/>
        <v>-139518</v>
      </c>
    </row>
  </sheetData>
  <sheetProtection sheet="1" objects="1" scenarios="1"/>
  <customSheetViews>
    <customSheetView guid="{E68B3865-8D72-47E7-BE32-0FF7EB09E889}" scale="90" fitToPage="1">
      <pane xSplit="1" ySplit="5" topLeftCell="B39" activePane="bottomRight" state="frozen"/>
      <selection pane="bottomRight" activeCell="C63" sqref="C63"/>
      <pageMargins left="0.7" right="0.7" top="0.75" bottom="0.75" header="0.3" footer="0.3"/>
      <pageSetup scale="48" orientation="landscape" r:id="rId1"/>
      <headerFooter alignWithMargins="0"/>
    </customSheetView>
    <customSheetView guid="{DE6E911D-85BF-467A-AA00-1E84C5349CF7}" scale="90" fitToPage="1">
      <pane xSplit="1" ySplit="5" topLeftCell="B39" activePane="bottomRight" state="frozen"/>
      <selection pane="bottomRight" activeCell="D53" sqref="D53"/>
      <pageMargins left="0.7" right="0.7" top="0.75" bottom="0.75" header="0.3" footer="0.3"/>
      <pageSetup scale="48" orientation="landscape" r:id="rId2"/>
      <headerFooter alignWithMargins="0"/>
    </customSheetView>
    <customSheetView guid="{A6F79E61-D6A3-44FD-B4A4-4724DF74349B}" showPageBreaks="1" fitToPage="1">
      <pane xSplit="1" ySplit="5" topLeftCell="B51" activePane="bottomRight" state="frozen"/>
      <selection pane="bottomRight" activeCell="H60" sqref="H60"/>
      <pageMargins left="0.7" right="0.7" top="0.75" bottom="0.75" header="0.3" footer="0.3"/>
      <pageSetup scale="48" orientation="landscape" r:id="rId3"/>
      <headerFooter alignWithMargins="0"/>
    </customSheetView>
    <customSheetView guid="{D62C3EC3-27D1-41F3-9A4E-06307CA202CE}" showPageBreaks="1" fitToPage="1" showRuler="0">
      <pane xSplit="1" ySplit="5" topLeftCell="B30" activePane="bottomRight" state="frozen"/>
      <selection pane="bottomRight" activeCell="D45" sqref="D45"/>
      <pageMargins left="0.7" right="0.7" top="0.75" bottom="0.75" header="0.3" footer="0.3"/>
      <pageSetup scale="56" orientation="landscape" r:id="rId4"/>
      <headerFooter alignWithMargins="0"/>
    </customSheetView>
    <customSheetView guid="{EC03C3C8-7E57-47C6-8413-F484E8C46A0C}" showPageBreaks="1" fitToPage="1">
      <pane xSplit="1" ySplit="5" topLeftCell="B47" activePane="bottomRight" state="frozen"/>
      <selection pane="bottomRight" activeCell="E53" sqref="E53"/>
      <pageMargins left="0.7" right="0.7" top="0.75" bottom="0.75" header="0.3" footer="0.3"/>
      <pageSetup scale="55" orientation="landscape" r:id="rId5"/>
      <headerFooter alignWithMargins="0"/>
    </customSheetView>
    <customSheetView guid="{2B2709E2-6DF4-4CC4-88D0-056FB306137C}" fitToPage="1">
      <pane xSplit="1" ySplit="5" topLeftCell="B51" activePane="bottomRight" state="frozen"/>
      <selection pane="bottomRight" activeCell="C64" sqref="C64"/>
      <pageMargins left="0.7" right="0.7" top="0.75" bottom="0.75" header="0.3" footer="0.3"/>
      <pageSetup scale="56" orientation="landscape" r:id="rId6"/>
      <headerFooter alignWithMargins="0"/>
    </customSheetView>
  </customSheetViews>
  <phoneticPr fontId="0" type="noConversion"/>
  <pageMargins left="0.7" right="0.7" top="0.75" bottom="0.75" header="0.3" footer="0.3"/>
  <pageSetup scale="48" orientation="landscape" r:id="rId7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H1" sqref="H1:H1048576"/>
    </sheetView>
  </sheetViews>
  <sheetFormatPr defaultRowHeight="15" x14ac:dyDescent="0.25"/>
  <cols>
    <col min="1" max="1" width="32.7109375" customWidth="1"/>
    <col min="2" max="2" width="14.5703125" customWidth="1"/>
    <col min="3" max="3" width="11.85546875" bestFit="1" customWidth="1"/>
    <col min="4" max="4" width="15.42578125" customWidth="1"/>
    <col min="5" max="5" width="13.5703125" customWidth="1"/>
    <col min="6" max="6" width="15.140625" style="6" customWidth="1"/>
    <col min="7" max="7" width="14.28515625" customWidth="1"/>
    <col min="8" max="8" width="12.85546875" customWidth="1"/>
    <col min="9" max="9" width="16.5703125" customWidth="1"/>
    <col min="10" max="10" width="10.85546875" bestFit="1" customWidth="1"/>
    <col min="11" max="12" width="12.7109375" bestFit="1" customWidth="1"/>
  </cols>
  <sheetData>
    <row r="1" spans="1:11" ht="23.25" x14ac:dyDescent="0.35">
      <c r="A1" s="5" t="s">
        <v>253</v>
      </c>
      <c r="B1" s="6"/>
      <c r="C1" s="6"/>
      <c r="D1" s="6"/>
    </row>
    <row r="2" spans="1:11" x14ac:dyDescent="0.25">
      <c r="A2" t="s">
        <v>1</v>
      </c>
      <c r="B2" s="6"/>
      <c r="C2" s="6"/>
      <c r="D2" s="6"/>
    </row>
    <row r="3" spans="1:11" x14ac:dyDescent="0.25">
      <c r="A3" s="1">
        <f>'ALL GOVERNMENT FUNDS'!A3</f>
        <v>43830</v>
      </c>
      <c r="B3" s="6"/>
      <c r="C3" s="6"/>
      <c r="D3" s="6"/>
      <c r="G3" t="s">
        <v>312</v>
      </c>
    </row>
    <row r="4" spans="1:11" x14ac:dyDescent="0.25">
      <c r="A4" s="1"/>
      <c r="B4" s="6"/>
      <c r="C4" s="6"/>
      <c r="D4" s="6"/>
      <c r="G4" t="s">
        <v>313</v>
      </c>
    </row>
    <row r="5" spans="1:11" ht="45" x14ac:dyDescent="0.25">
      <c r="A5" s="1"/>
      <c r="B5" s="28" t="s">
        <v>252</v>
      </c>
      <c r="C5" s="28" t="s">
        <v>251</v>
      </c>
      <c r="D5" s="28" t="s">
        <v>250</v>
      </c>
      <c r="E5" s="27" t="s">
        <v>249</v>
      </c>
      <c r="F5" s="28" t="s">
        <v>248</v>
      </c>
      <c r="G5" s="27" t="s">
        <v>247</v>
      </c>
      <c r="H5" s="27" t="s">
        <v>184</v>
      </c>
      <c r="I5" s="27" t="s">
        <v>245</v>
      </c>
      <c r="K5" s="27"/>
    </row>
    <row r="6" spans="1:11" x14ac:dyDescent="0.25">
      <c r="B6" s="6"/>
      <c r="C6" s="6"/>
      <c r="D6" s="6"/>
    </row>
    <row r="7" spans="1:11" x14ac:dyDescent="0.25">
      <c r="A7" s="3" t="s">
        <v>2</v>
      </c>
      <c r="B7" s="6"/>
      <c r="C7" s="6"/>
      <c r="D7" s="6"/>
    </row>
    <row r="8" spans="1:11" x14ac:dyDescent="0.25">
      <c r="A8" s="4" t="s">
        <v>3</v>
      </c>
      <c r="B8" s="6">
        <f>'AAA Funds'!F8</f>
        <v>443570.84</v>
      </c>
      <c r="C8" s="6">
        <f>'RSVP Funds'!F8</f>
        <v>18972.54</v>
      </c>
      <c r="D8" s="6">
        <f>'CYS Funds'!R8</f>
        <v>-1145105.1599999999</v>
      </c>
      <c r="E8" s="6">
        <f>'Substance Abuse'!I8</f>
        <v>312232.63</v>
      </c>
      <c r="F8" s="6">
        <f>'Mental Health Funds'!K8</f>
        <v>-107731.84999999999</v>
      </c>
      <c r="G8" s="49">
        <f>'Mental Retardation Funds'!O8</f>
        <v>1302991.46</v>
      </c>
      <c r="H8" s="6"/>
      <c r="I8" s="6">
        <f t="shared" ref="I8:I14" si="0">SUM(B8:H8)</f>
        <v>824930.46000000008</v>
      </c>
    </row>
    <row r="9" spans="1:11" x14ac:dyDescent="0.25">
      <c r="A9" s="4" t="s">
        <v>189</v>
      </c>
      <c r="B9" s="6">
        <f>'AAA Funds'!F9</f>
        <v>0</v>
      </c>
      <c r="C9" s="6">
        <f>'RSVP Funds'!F9</f>
        <v>0</v>
      </c>
      <c r="D9" s="6">
        <f>'CYS Funds'!R9</f>
        <v>0</v>
      </c>
      <c r="E9" s="6">
        <f>'Substance Abuse'!I9</f>
        <v>0</v>
      </c>
      <c r="F9" s="6">
        <f>'Mental Health Funds'!K9</f>
        <v>0</v>
      </c>
      <c r="G9" s="6">
        <f>'Mental Retardation Funds'!O9</f>
        <v>0</v>
      </c>
      <c r="H9" s="6"/>
      <c r="I9" s="6">
        <f t="shared" si="0"/>
        <v>0</v>
      </c>
    </row>
    <row r="10" spans="1:11" x14ac:dyDescent="0.25">
      <c r="A10" s="4" t="s">
        <v>4</v>
      </c>
      <c r="B10" s="6">
        <f>'AAA Funds'!F10</f>
        <v>480.84</v>
      </c>
      <c r="C10" s="6">
        <f>'RSVP Funds'!F10</f>
        <v>0</v>
      </c>
      <c r="D10" s="6">
        <f>'CYS Funds'!R10</f>
        <v>719055.57000000007</v>
      </c>
      <c r="E10" s="6">
        <f>'Substance Abuse'!I10</f>
        <v>198246.05000000002</v>
      </c>
      <c r="F10" s="6">
        <f>'Mental Health Funds'!K10</f>
        <v>93271.3</v>
      </c>
      <c r="G10" s="6">
        <f>'Mental Retardation Funds'!O10</f>
        <v>90442.4</v>
      </c>
      <c r="H10" s="6"/>
      <c r="I10" s="6">
        <f t="shared" si="0"/>
        <v>1101496.1600000001</v>
      </c>
    </row>
    <row r="11" spans="1:11" x14ac:dyDescent="0.25">
      <c r="A11" s="4" t="s">
        <v>6</v>
      </c>
      <c r="B11" s="6">
        <f>'AAA Funds'!F11</f>
        <v>15859.98</v>
      </c>
      <c r="C11" s="6">
        <f>'RSVP Funds'!F11</f>
        <v>0</v>
      </c>
      <c r="D11" s="6">
        <f>'CYS Funds'!R11</f>
        <v>30205.68</v>
      </c>
      <c r="E11" s="6">
        <f>'Substance Abuse'!I11</f>
        <v>9333.7800000000007</v>
      </c>
      <c r="F11" s="6">
        <f>'Mental Health Funds'!K11</f>
        <v>18881.47</v>
      </c>
      <c r="G11" s="6">
        <f>'Mental Retardation Funds'!O11</f>
        <v>17468.620000000003</v>
      </c>
      <c r="H11" s="6"/>
      <c r="I11" s="6">
        <f t="shared" si="0"/>
        <v>91749.53</v>
      </c>
    </row>
    <row r="12" spans="1:11" x14ac:dyDescent="0.25">
      <c r="A12" s="4" t="s">
        <v>5</v>
      </c>
      <c r="B12" s="6">
        <f>'AAA Funds'!F12</f>
        <v>39484.35</v>
      </c>
      <c r="C12" s="6">
        <f>'RSVP Funds'!F12</f>
        <v>0</v>
      </c>
      <c r="D12" s="6">
        <f>'CYS Funds'!R12</f>
        <v>1379505.52</v>
      </c>
      <c r="E12" s="6">
        <f>'Substance Abuse'!I12</f>
        <v>4809.12</v>
      </c>
      <c r="F12" s="6">
        <f>'Mental Health Funds'!K12</f>
        <v>227160.09999999998</v>
      </c>
      <c r="G12" s="6">
        <f>'Mental Retardation Funds'!O12</f>
        <v>0</v>
      </c>
      <c r="H12" s="6"/>
      <c r="I12" s="6">
        <f t="shared" si="0"/>
        <v>1650959.0900000003</v>
      </c>
    </row>
    <row r="13" spans="1:11" x14ac:dyDescent="0.25">
      <c r="A13" s="4" t="s">
        <v>61</v>
      </c>
      <c r="B13" s="6">
        <f>'AAA Funds'!F13</f>
        <v>-2</v>
      </c>
      <c r="C13" s="6">
        <f>'RSVP Funds'!F13</f>
        <v>0</v>
      </c>
      <c r="D13" s="6">
        <f>'CYS Funds'!R13</f>
        <v>0</v>
      </c>
      <c r="E13" s="6">
        <f>'Substance Abuse'!I13</f>
        <v>0</v>
      </c>
      <c r="F13" s="6">
        <f>'Mental Health Funds'!K13</f>
        <v>0</v>
      </c>
      <c r="G13" s="6">
        <f>'Mental Retardation Funds'!O13</f>
        <v>0</v>
      </c>
      <c r="H13" s="6"/>
      <c r="I13" s="6">
        <f t="shared" si="0"/>
        <v>-2</v>
      </c>
    </row>
    <row r="14" spans="1:11" x14ac:dyDescent="0.25">
      <c r="A14" s="2" t="s">
        <v>7</v>
      </c>
      <c r="B14" s="6">
        <f>'AAA Funds'!F14</f>
        <v>499394.01</v>
      </c>
      <c r="C14" s="6">
        <f>'RSVP Funds'!F14</f>
        <v>18972.54</v>
      </c>
      <c r="D14" s="6">
        <f>'CYS Funds'!R14</f>
        <v>983661.6100000001</v>
      </c>
      <c r="E14" s="6">
        <f>'Substance Abuse'!I14</f>
        <v>524621.58000000007</v>
      </c>
      <c r="F14" s="6">
        <f>'Mental Health Funds'!K14</f>
        <v>231581.02</v>
      </c>
      <c r="G14" s="6">
        <f>'Mental Retardation Funds'!O14</f>
        <v>1410902.4800000002</v>
      </c>
      <c r="H14" s="6"/>
      <c r="I14" s="6">
        <f t="shared" si="0"/>
        <v>3669133.24</v>
      </c>
    </row>
    <row r="15" spans="1:11" x14ac:dyDescent="0.25">
      <c r="B15" s="6"/>
      <c r="C15" s="6"/>
      <c r="D15" s="6"/>
      <c r="E15" s="6"/>
      <c r="G15" s="6"/>
      <c r="I15" s="6"/>
    </row>
    <row r="16" spans="1:11" x14ac:dyDescent="0.25">
      <c r="A16" s="3" t="s">
        <v>8</v>
      </c>
      <c r="B16" s="6"/>
      <c r="C16" s="6"/>
      <c r="D16" s="6"/>
      <c r="E16" s="6"/>
      <c r="G16" s="6"/>
      <c r="I16" s="6"/>
    </row>
    <row r="17" spans="1:9" x14ac:dyDescent="0.25">
      <c r="A17" s="4" t="s">
        <v>9</v>
      </c>
      <c r="B17" s="6">
        <f>'AAA Funds'!F17</f>
        <v>96532.2</v>
      </c>
      <c r="C17" s="6">
        <f>'RSVP Funds'!F17</f>
        <v>0</v>
      </c>
      <c r="D17" s="6">
        <f>'CYS Funds'!R17</f>
        <v>636649.71000000008</v>
      </c>
      <c r="E17" s="6">
        <f>'Substance Abuse'!I17</f>
        <v>47925.18</v>
      </c>
      <c r="F17" s="6">
        <f>'Mental Health Funds'!K17</f>
        <v>126854.42</v>
      </c>
      <c r="G17" s="6">
        <f>'Mental Retardation Funds'!O17</f>
        <v>77431.44</v>
      </c>
      <c r="I17" s="6">
        <f t="shared" ref="I17:I22" si="1">SUM(B17:H17)</f>
        <v>985392.95000000019</v>
      </c>
    </row>
    <row r="18" spans="1:9" x14ac:dyDescent="0.25">
      <c r="A18" s="4" t="s">
        <v>10</v>
      </c>
      <c r="B18" s="6">
        <f>'AAA Funds'!F18</f>
        <v>64447.23</v>
      </c>
      <c r="C18" s="6">
        <f>'RSVP Funds'!F18</f>
        <v>0</v>
      </c>
      <c r="D18" s="6">
        <f>'CYS Funds'!R18</f>
        <v>155087.74</v>
      </c>
      <c r="E18" s="6">
        <f>'Substance Abuse'!I18</f>
        <v>31983.91</v>
      </c>
      <c r="F18" s="6">
        <f>'Mental Health Funds'!K18</f>
        <v>46198.45</v>
      </c>
      <c r="G18" s="6">
        <f>'Mental Retardation Funds'!O18</f>
        <v>36508.35</v>
      </c>
      <c r="I18" s="6">
        <f t="shared" si="1"/>
        <v>334225.68</v>
      </c>
    </row>
    <row r="19" spans="1:9" x14ac:dyDescent="0.25">
      <c r="A19" s="4" t="s">
        <v>190</v>
      </c>
      <c r="B19" s="6">
        <f>'AAA Funds'!F19</f>
        <v>0</v>
      </c>
      <c r="C19" s="6">
        <f>'RSVP Funds'!F19</f>
        <v>0</v>
      </c>
      <c r="D19" s="6">
        <f>'CYS Funds'!R19</f>
        <v>160355</v>
      </c>
      <c r="E19" s="6">
        <f>'Substance Abuse'!I19</f>
        <v>0</v>
      </c>
      <c r="F19" s="6">
        <f>'Mental Health Funds'!K19</f>
        <v>0</v>
      </c>
      <c r="G19" s="6">
        <f>'Mental Retardation Funds'!O19</f>
        <v>0</v>
      </c>
      <c r="I19" s="6">
        <f t="shared" si="1"/>
        <v>160355</v>
      </c>
    </row>
    <row r="20" spans="1:9" x14ac:dyDescent="0.25">
      <c r="A20" s="4" t="s">
        <v>11</v>
      </c>
      <c r="B20" s="6">
        <f>'AAA Funds'!F20</f>
        <v>0</v>
      </c>
      <c r="C20" s="6">
        <f>'RSVP Funds'!F20</f>
        <v>0</v>
      </c>
      <c r="D20" s="6">
        <f>'CYS Funds'!R20</f>
        <v>0</v>
      </c>
      <c r="E20" s="6">
        <f>'Substance Abuse'!I20</f>
        <v>0</v>
      </c>
      <c r="F20" s="6">
        <f>'Mental Health Funds'!K20</f>
        <v>0</v>
      </c>
      <c r="G20" s="6">
        <f>'Mental Retardation Funds'!O20</f>
        <v>0</v>
      </c>
      <c r="I20" s="6">
        <f t="shared" si="1"/>
        <v>0</v>
      </c>
    </row>
    <row r="21" spans="1:9" x14ac:dyDescent="0.25">
      <c r="A21" s="4" t="s">
        <v>12</v>
      </c>
      <c r="B21" s="6">
        <f>'AAA Funds'!F21</f>
        <v>338415.29</v>
      </c>
      <c r="C21" s="6">
        <f>'RSVP Funds'!F21</f>
        <v>327.41000000000003</v>
      </c>
      <c r="D21" s="6">
        <f>'CYS Funds'!R21</f>
        <v>-0.46</v>
      </c>
      <c r="E21" s="6">
        <f>'Substance Abuse'!I21</f>
        <v>149519.09</v>
      </c>
      <c r="F21" s="6">
        <f>'Mental Health Funds'!K21</f>
        <v>58528.61</v>
      </c>
      <c r="G21" s="6">
        <f>'Mental Retardation Funds'!O21</f>
        <v>1296961.92</v>
      </c>
      <c r="I21" s="6">
        <f t="shared" si="1"/>
        <v>1843751.8599999999</v>
      </c>
    </row>
    <row r="22" spans="1:9" x14ac:dyDescent="0.25">
      <c r="A22" s="2" t="s">
        <v>13</v>
      </c>
      <c r="B22" s="6">
        <f>'AAA Funds'!F22</f>
        <v>499394.72</v>
      </c>
      <c r="C22" s="6">
        <f>'RSVP Funds'!F22</f>
        <v>327.41000000000003</v>
      </c>
      <c r="D22" s="6">
        <f>'CYS Funds'!R22</f>
        <v>952091.99</v>
      </c>
      <c r="E22" s="6">
        <f>'Substance Abuse'!I22</f>
        <v>229428.18</v>
      </c>
      <c r="F22" s="6">
        <f>'Mental Health Funds'!K22</f>
        <v>231581.48000000004</v>
      </c>
      <c r="G22" s="6">
        <f>'Mental Retardation Funds'!O22</f>
        <v>1410901.71</v>
      </c>
      <c r="H22" s="6">
        <f>SUM(H17:H21)</f>
        <v>0</v>
      </c>
      <c r="I22" s="6">
        <f t="shared" si="1"/>
        <v>3323725.4899999998</v>
      </c>
    </row>
    <row r="23" spans="1:9" x14ac:dyDescent="0.25">
      <c r="B23" s="6"/>
      <c r="C23" s="6"/>
      <c r="D23" s="6"/>
      <c r="E23" s="6"/>
      <c r="G23" s="6"/>
      <c r="I23" s="6"/>
    </row>
    <row r="24" spans="1:9" x14ac:dyDescent="0.25">
      <c r="A24" s="3" t="s">
        <v>14</v>
      </c>
      <c r="B24" s="6"/>
      <c r="C24" s="6"/>
      <c r="D24" s="6"/>
      <c r="E24" s="6"/>
      <c r="G24" s="6"/>
      <c r="I24" s="6"/>
    </row>
    <row r="25" spans="1:9" x14ac:dyDescent="0.25">
      <c r="A25" s="4" t="s">
        <v>15</v>
      </c>
      <c r="B25" s="6">
        <f>'AAA Funds'!F25</f>
        <v>37.159999999999997</v>
      </c>
      <c r="C25" s="6">
        <f>'RSVP Funds'!F25</f>
        <v>0</v>
      </c>
      <c r="D25" s="6">
        <f>'CYS Funds'!R25</f>
        <v>0</v>
      </c>
      <c r="E25" s="6">
        <f>'Substance Abuse'!I25</f>
        <v>0</v>
      </c>
      <c r="F25" s="6">
        <f>'Mental Health Funds'!K25</f>
        <v>0</v>
      </c>
      <c r="G25" s="6">
        <f>'Mental Retardation Funds'!O25</f>
        <v>255.57</v>
      </c>
      <c r="I25" s="6">
        <f>SUM(B25:H25)</f>
        <v>292.73</v>
      </c>
    </row>
    <row r="26" spans="1:9" x14ac:dyDescent="0.25">
      <c r="A26" s="4" t="s">
        <v>16</v>
      </c>
      <c r="B26" s="6">
        <f>'AAA Funds'!F26</f>
        <v>0</v>
      </c>
      <c r="C26" s="6">
        <f>'RSVP Funds'!F26</f>
        <v>0</v>
      </c>
      <c r="D26" s="6">
        <f>'CYS Funds'!R26</f>
        <v>0</v>
      </c>
      <c r="E26" s="6">
        <f>'Substance Abuse'!I26</f>
        <v>0</v>
      </c>
      <c r="F26" s="6">
        <f>'Mental Health Funds'!K26</f>
        <v>0</v>
      </c>
      <c r="G26" s="6">
        <f>'Mental Retardation Funds'!O26</f>
        <v>0</v>
      </c>
      <c r="I26" s="6">
        <f>SUM(B26:H26)</f>
        <v>0</v>
      </c>
    </row>
    <row r="27" spans="1:9" x14ac:dyDescent="0.25">
      <c r="A27" s="4" t="s">
        <v>17</v>
      </c>
      <c r="B27" s="6">
        <f>'AAA Funds'!F27</f>
        <v>-37.869999999999997</v>
      </c>
      <c r="C27" s="6">
        <f>'RSVP Funds'!F27</f>
        <v>18645.13</v>
      </c>
      <c r="D27" s="6">
        <f>'CYS Funds'!R27</f>
        <v>31569.620000000003</v>
      </c>
      <c r="E27" s="6">
        <f>'Substance Abuse'!I27</f>
        <v>295193.39999999997</v>
      </c>
      <c r="F27" s="6">
        <f>'Mental Health Funds'!K27</f>
        <v>-0.46000000000000463</v>
      </c>
      <c r="G27" s="6">
        <f>'Mental Retardation Funds'!O27</f>
        <v>-254.8</v>
      </c>
      <c r="I27" s="6">
        <f>SUM(B27:H27)</f>
        <v>345115.01999999996</v>
      </c>
    </row>
    <row r="28" spans="1:9" x14ac:dyDescent="0.25">
      <c r="A28" s="2" t="s">
        <v>18</v>
      </c>
      <c r="B28" s="6">
        <f>'AAA Funds'!F28</f>
        <v>-0.71000000000000085</v>
      </c>
      <c r="C28" s="6">
        <f>'RSVP Funds'!F28</f>
        <v>18645.13</v>
      </c>
      <c r="D28" s="6">
        <f>'CYS Funds'!R28</f>
        <v>31569.620000000003</v>
      </c>
      <c r="E28" s="6">
        <f>'Substance Abuse'!I28</f>
        <v>295193.39999999997</v>
      </c>
      <c r="F28" s="6">
        <f>'Mental Health Funds'!K28</f>
        <v>-0.46000000000000463</v>
      </c>
      <c r="G28" s="6">
        <f>'Mental Retardation Funds'!O28</f>
        <v>0.76999999999999313</v>
      </c>
      <c r="H28">
        <f>SUM(H25:H27)</f>
        <v>0</v>
      </c>
      <c r="I28" s="6">
        <f>SUM(B28:H28)</f>
        <v>345407.74999999994</v>
      </c>
    </row>
    <row r="29" spans="1:9" x14ac:dyDescent="0.25">
      <c r="B29" s="6"/>
      <c r="C29" s="6"/>
      <c r="D29" s="6"/>
      <c r="E29" s="6"/>
      <c r="G29" s="6"/>
      <c r="I29" s="6"/>
    </row>
    <row r="30" spans="1:9" x14ac:dyDescent="0.25">
      <c r="A30" s="2" t="s">
        <v>19</v>
      </c>
      <c r="B30" s="6">
        <f>'AAA Funds'!F30</f>
        <v>499394.00999999995</v>
      </c>
      <c r="C30" s="6">
        <f>'RSVP Funds'!F30</f>
        <v>18972.54</v>
      </c>
      <c r="D30" s="6">
        <f>'CYS Funds'!R30</f>
        <v>983661.6100000001</v>
      </c>
      <c r="E30" s="6">
        <f>'Substance Abuse'!I30</f>
        <v>524621.57999999996</v>
      </c>
      <c r="F30" s="6">
        <f>'Mental Health Funds'!K30</f>
        <v>231581.02000000002</v>
      </c>
      <c r="G30" s="6">
        <f>'Mental Retardation Funds'!O30</f>
        <v>1410902.48</v>
      </c>
      <c r="H30" s="6">
        <f>'Human Services 1150'!E30</f>
        <v>0</v>
      </c>
      <c r="I30" s="6">
        <f>SUM(B30:H30)</f>
        <v>3669133.24</v>
      </c>
    </row>
    <row r="31" spans="1:9" x14ac:dyDescent="0.25">
      <c r="B31" s="49" t="str">
        <f>IF(B14=B30,"YES","NO")</f>
        <v>YES</v>
      </c>
      <c r="C31" s="49" t="str">
        <f t="shared" ref="C31:G31" si="2">IF(C14=C30,"YES","NO")</f>
        <v>YES</v>
      </c>
      <c r="D31" s="49" t="str">
        <f t="shared" si="2"/>
        <v>YES</v>
      </c>
      <c r="E31" s="49" t="str">
        <f t="shared" si="2"/>
        <v>YES</v>
      </c>
      <c r="F31" s="49" t="str">
        <f t="shared" si="2"/>
        <v>YES</v>
      </c>
      <c r="G31" s="49" t="str">
        <f t="shared" si="2"/>
        <v>YES</v>
      </c>
      <c r="H31" s="49" t="str">
        <f>IF(H14=H30,"YES","NO")</f>
        <v>YES</v>
      </c>
      <c r="I31" s="49" t="str">
        <f>IF(I14=I30,"YES","NO")</f>
        <v>YES</v>
      </c>
    </row>
    <row r="32" spans="1:9" x14ac:dyDescent="0.25">
      <c r="A32" s="3" t="s">
        <v>20</v>
      </c>
      <c r="B32" s="6"/>
      <c r="C32" s="6"/>
      <c r="D32" s="6"/>
      <c r="E32" s="6"/>
      <c r="G32" s="6"/>
      <c r="I32" s="6"/>
    </row>
    <row r="33" spans="1:10" x14ac:dyDescent="0.25">
      <c r="A33" s="4" t="s">
        <v>21</v>
      </c>
      <c r="B33" s="6">
        <f>'AAA Funds'!F33</f>
        <v>2156136.73</v>
      </c>
      <c r="C33" s="6">
        <f>'RSVP Funds'!F33</f>
        <v>0</v>
      </c>
      <c r="D33" s="6">
        <f>'CYS Funds'!R33</f>
        <v>8696597.3100000005</v>
      </c>
      <c r="E33" s="6">
        <f>'Substance Abuse'!I33</f>
        <v>992313.97</v>
      </c>
      <c r="F33" s="6">
        <f>'Mental Health Funds'!K33</f>
        <v>3183819.42</v>
      </c>
      <c r="G33" s="6">
        <f>'Mental Retardation Funds'!O33</f>
        <v>2003109.79</v>
      </c>
      <c r="H33" s="32"/>
      <c r="I33" s="17">
        <f t="shared" ref="I33:I38" si="3">SUM(B33:H33)</f>
        <v>17031977.220000003</v>
      </c>
      <c r="J33" s="32"/>
    </row>
    <row r="34" spans="1:10" x14ac:dyDescent="0.25">
      <c r="A34" s="4" t="s">
        <v>22</v>
      </c>
      <c r="B34" s="17">
        <f>'AAA Funds'!F34</f>
        <v>0</v>
      </c>
      <c r="C34" s="17">
        <f>'RSVP Funds'!F34</f>
        <v>0</v>
      </c>
      <c r="D34" s="17">
        <f>'CYS Funds'!R34</f>
        <v>120623.77</v>
      </c>
      <c r="E34" s="17">
        <f>'Substance Abuse'!I34</f>
        <v>0</v>
      </c>
      <c r="F34" s="17">
        <f>'Mental Health Funds'!K34</f>
        <v>0</v>
      </c>
      <c r="G34" s="17">
        <f>'Mental Retardation Funds'!O34</f>
        <v>0</v>
      </c>
      <c r="H34" s="32"/>
      <c r="I34" s="17">
        <f t="shared" si="3"/>
        <v>120623.77</v>
      </c>
      <c r="J34" s="32"/>
    </row>
    <row r="35" spans="1:10" x14ac:dyDescent="0.25">
      <c r="A35" s="4" t="s">
        <v>201</v>
      </c>
      <c r="B35" s="17">
        <f>'AAA Funds'!F35</f>
        <v>0</v>
      </c>
      <c r="C35" s="17">
        <f>'RSVP Funds'!F35</f>
        <v>0</v>
      </c>
      <c r="D35" s="17">
        <f>'CYS Funds'!R35</f>
        <v>0</v>
      </c>
      <c r="E35" s="17">
        <f>'Substance Abuse'!I35</f>
        <v>226556.83</v>
      </c>
      <c r="F35" s="17">
        <f>'Mental Health Funds'!K35</f>
        <v>0</v>
      </c>
      <c r="G35" s="17">
        <f>'Mental Retardation Funds'!O35</f>
        <v>8432.1200000000008</v>
      </c>
      <c r="H35" s="32"/>
      <c r="I35" s="17">
        <f t="shared" si="3"/>
        <v>234988.94999999998</v>
      </c>
      <c r="J35" s="32"/>
    </row>
    <row r="36" spans="1:10" x14ac:dyDescent="0.25">
      <c r="A36" s="4" t="s">
        <v>23</v>
      </c>
      <c r="B36" s="17">
        <f>'AAA Funds'!F36</f>
        <v>1171.5</v>
      </c>
      <c r="C36" s="17">
        <f>'RSVP Funds'!F36</f>
        <v>38.21</v>
      </c>
      <c r="D36" s="17">
        <f>'CYS Funds'!R36</f>
        <v>86.17</v>
      </c>
      <c r="E36" s="17">
        <f>'Substance Abuse'!I36</f>
        <v>828.22</v>
      </c>
      <c r="F36" s="17">
        <f>'Mental Health Funds'!K36</f>
        <v>42.98</v>
      </c>
      <c r="G36" s="17">
        <f>'Mental Retardation Funds'!O36</f>
        <v>4294.7700000000004</v>
      </c>
      <c r="H36" s="32"/>
      <c r="I36" s="17">
        <f t="shared" si="3"/>
        <v>6461.85</v>
      </c>
      <c r="J36" s="32"/>
    </row>
    <row r="37" spans="1:10" x14ac:dyDescent="0.25">
      <c r="A37" s="4" t="s">
        <v>24</v>
      </c>
      <c r="B37" s="17">
        <f>'AAA Funds'!F37</f>
        <v>820</v>
      </c>
      <c r="C37" s="17">
        <f>'RSVP Funds'!F37</f>
        <v>0</v>
      </c>
      <c r="D37" s="17">
        <f>'CYS Funds'!R37</f>
        <v>242773.96</v>
      </c>
      <c r="E37" s="17">
        <f>'Substance Abuse'!I37</f>
        <v>0</v>
      </c>
      <c r="F37" s="17">
        <f>'Mental Health Funds'!K37</f>
        <v>53601.34</v>
      </c>
      <c r="G37" s="17">
        <f>'Mental Retardation Funds'!O37</f>
        <v>17158</v>
      </c>
      <c r="H37" s="32"/>
      <c r="I37" s="17">
        <f t="shared" si="3"/>
        <v>314353.3</v>
      </c>
      <c r="J37" s="32"/>
    </row>
    <row r="38" spans="1:10" x14ac:dyDescent="0.25">
      <c r="A38" s="2" t="s">
        <v>25</v>
      </c>
      <c r="B38" s="17">
        <f>'AAA Funds'!F38</f>
        <v>2158128.23</v>
      </c>
      <c r="C38" s="17">
        <f>'RSVP Funds'!F38</f>
        <v>38.21</v>
      </c>
      <c r="D38" s="17">
        <f>'CYS Funds'!R38</f>
        <v>9060081.209999999</v>
      </c>
      <c r="E38" s="17">
        <f>'Substance Abuse'!I38</f>
        <v>1219699.0199999998</v>
      </c>
      <c r="F38" s="17">
        <f>'Mental Health Funds'!K38</f>
        <v>3237463.74</v>
      </c>
      <c r="G38" s="17">
        <f>'Mental Retardation Funds'!O38</f>
        <v>2032994.6800000004</v>
      </c>
      <c r="H38" s="32"/>
      <c r="I38" s="17">
        <f t="shared" si="3"/>
        <v>17708405.09</v>
      </c>
      <c r="J38" s="32"/>
    </row>
    <row r="39" spans="1:10" x14ac:dyDescent="0.25">
      <c r="B39" s="17"/>
      <c r="C39" s="17"/>
      <c r="D39" s="17"/>
      <c r="E39" s="17"/>
      <c r="F39" s="17"/>
      <c r="G39" s="17"/>
      <c r="H39" s="32"/>
      <c r="I39" s="17"/>
      <c r="J39" s="32"/>
    </row>
    <row r="40" spans="1:10" x14ac:dyDescent="0.25">
      <c r="A40" s="3" t="s">
        <v>26</v>
      </c>
      <c r="B40" s="17"/>
      <c r="C40" s="17"/>
      <c r="D40" s="17"/>
      <c r="E40" s="17"/>
      <c r="F40" s="17"/>
      <c r="G40" s="17"/>
      <c r="H40" s="32"/>
      <c r="I40" s="17"/>
      <c r="J40" s="32"/>
    </row>
    <row r="41" spans="1:10" x14ac:dyDescent="0.25">
      <c r="A41" s="4" t="s">
        <v>27</v>
      </c>
      <c r="B41" s="17">
        <f>'AAA Funds'!F41</f>
        <v>0</v>
      </c>
      <c r="C41" s="17">
        <f>'RSVP Funds'!F41</f>
        <v>0</v>
      </c>
      <c r="D41" s="17">
        <f>'CYS Funds'!R41</f>
        <v>0</v>
      </c>
      <c r="E41" s="17">
        <f>'Substance Abuse'!I41</f>
        <v>0</v>
      </c>
      <c r="F41" s="17">
        <f>'Mental Health Funds'!K41</f>
        <v>0</v>
      </c>
      <c r="G41" s="17">
        <f>'Mental Retardation Funds'!O41</f>
        <v>0</v>
      </c>
      <c r="H41" s="32"/>
      <c r="I41" s="17">
        <f t="shared" ref="I41:I47" si="4">SUM(B41:H41)</f>
        <v>0</v>
      </c>
      <c r="J41" s="32"/>
    </row>
    <row r="42" spans="1:10" x14ac:dyDescent="0.25">
      <c r="A42" s="4" t="s">
        <v>28</v>
      </c>
      <c r="B42" s="17">
        <f>'AAA Funds'!F42</f>
        <v>0</v>
      </c>
      <c r="C42" s="17">
        <f>'RSVP Funds'!F42</f>
        <v>0</v>
      </c>
      <c r="D42" s="17">
        <f>'CYS Funds'!R42</f>
        <v>0</v>
      </c>
      <c r="E42" s="17">
        <f>'Substance Abuse'!I42</f>
        <v>0</v>
      </c>
      <c r="F42" s="17">
        <f>'Mental Health Funds'!K42</f>
        <v>0</v>
      </c>
      <c r="G42" s="17">
        <f>'Mental Retardation Funds'!O42</f>
        <v>0</v>
      </c>
      <c r="H42" s="32"/>
      <c r="I42" s="17">
        <f t="shared" si="4"/>
        <v>0</v>
      </c>
      <c r="J42" s="32"/>
    </row>
    <row r="43" spans="1:10" x14ac:dyDescent="0.25">
      <c r="A43" s="4" t="s">
        <v>29</v>
      </c>
      <c r="B43" s="17">
        <f>'AAA Funds'!F43</f>
        <v>0</v>
      </c>
      <c r="C43" s="17">
        <f>'RSVP Funds'!F43</f>
        <v>0</v>
      </c>
      <c r="D43" s="17">
        <f>'CYS Funds'!R43</f>
        <v>0</v>
      </c>
      <c r="E43" s="17">
        <f>'Substance Abuse'!I43</f>
        <v>0</v>
      </c>
      <c r="F43" s="17">
        <f>'Mental Health Funds'!K43</f>
        <v>0</v>
      </c>
      <c r="G43" s="17">
        <f>'Mental Retardation Funds'!O43</f>
        <v>0</v>
      </c>
      <c r="H43" s="32"/>
      <c r="I43" s="17">
        <f t="shared" si="4"/>
        <v>0</v>
      </c>
      <c r="J43" s="32"/>
    </row>
    <row r="44" spans="1:10" x14ac:dyDescent="0.25">
      <c r="A44" s="4" t="s">
        <v>30</v>
      </c>
      <c r="B44" s="17">
        <f>'AAA Funds'!F44</f>
        <v>0</v>
      </c>
      <c r="C44" s="17">
        <f>'RSVP Funds'!F44</f>
        <v>0</v>
      </c>
      <c r="D44" s="17">
        <f>'CYS Funds'!R44</f>
        <v>0</v>
      </c>
      <c r="E44" s="17">
        <f>'Substance Abuse'!I44</f>
        <v>0</v>
      </c>
      <c r="F44" s="17">
        <f>'Mental Health Funds'!K44</f>
        <v>0</v>
      </c>
      <c r="G44" s="17">
        <f>'Mental Retardation Funds'!O44</f>
        <v>0</v>
      </c>
      <c r="H44" s="32"/>
      <c r="I44" s="17">
        <f t="shared" si="4"/>
        <v>0</v>
      </c>
      <c r="J44" s="32"/>
    </row>
    <row r="45" spans="1:10" x14ac:dyDescent="0.25">
      <c r="A45" s="4" t="s">
        <v>31</v>
      </c>
      <c r="B45" s="17">
        <f>'AAA Funds'!F45</f>
        <v>2066166.92</v>
      </c>
      <c r="C45" s="17">
        <f>'RSVP Funds'!F45</f>
        <v>0</v>
      </c>
      <c r="D45" s="17">
        <f>'CYS Funds'!R45</f>
        <v>9847797.9100000001</v>
      </c>
      <c r="E45" s="17">
        <f>'Substance Abuse'!I45</f>
        <v>1175131.5900000001</v>
      </c>
      <c r="F45" s="17">
        <f>'Mental Health Funds'!K45</f>
        <v>3115553.1999999997</v>
      </c>
      <c r="G45" s="17">
        <f>'Mental Retardation Funds'!O45</f>
        <v>1891924.28</v>
      </c>
      <c r="H45" s="32"/>
      <c r="I45" s="17">
        <f t="shared" si="4"/>
        <v>18096573.899999999</v>
      </c>
      <c r="J45" s="32"/>
    </row>
    <row r="46" spans="1:10" x14ac:dyDescent="0.25">
      <c r="A46" s="4" t="s">
        <v>62</v>
      </c>
      <c r="B46" s="17">
        <f>'AAA Funds'!F46</f>
        <v>0</v>
      </c>
      <c r="C46" s="17">
        <f>'RSVP Funds'!F46</f>
        <v>0</v>
      </c>
      <c r="D46" s="17">
        <f>'CYS Funds'!R46</f>
        <v>0</v>
      </c>
      <c r="E46" s="17">
        <f>'Substance Abuse'!I46</f>
        <v>0</v>
      </c>
      <c r="F46" s="17">
        <f>'Mental Health Funds'!K46</f>
        <v>0</v>
      </c>
      <c r="G46" s="17">
        <f>'Mental Retardation Funds'!O46</f>
        <v>0</v>
      </c>
      <c r="H46" s="32"/>
      <c r="I46" s="17">
        <f t="shared" si="4"/>
        <v>0</v>
      </c>
      <c r="J46" s="32"/>
    </row>
    <row r="47" spans="1:10" x14ac:dyDescent="0.25">
      <c r="A47" s="2" t="s">
        <v>32</v>
      </c>
      <c r="B47" s="17">
        <f>'AAA Funds'!F47</f>
        <v>2066166.92</v>
      </c>
      <c r="C47" s="17">
        <f>'RSVP Funds'!F47</f>
        <v>0</v>
      </c>
      <c r="D47" s="17">
        <f>'CYS Funds'!R47</f>
        <v>9847797.9100000001</v>
      </c>
      <c r="E47" s="17">
        <f>'Substance Abuse'!I47</f>
        <v>1175131.5900000001</v>
      </c>
      <c r="F47" s="17">
        <f>'Mental Health Funds'!K47</f>
        <v>3115553.1999999997</v>
      </c>
      <c r="G47" s="17">
        <f>'Mental Retardation Funds'!O47</f>
        <v>1891924.28</v>
      </c>
      <c r="H47" s="32"/>
      <c r="I47" s="17">
        <f t="shared" si="4"/>
        <v>18096573.899999999</v>
      </c>
      <c r="J47" s="32"/>
    </row>
    <row r="48" spans="1:10" x14ac:dyDescent="0.25">
      <c r="B48" s="17"/>
      <c r="C48" s="17"/>
      <c r="D48" s="17"/>
      <c r="E48" s="17"/>
      <c r="F48" s="17"/>
      <c r="G48" s="17"/>
      <c r="H48" s="32"/>
      <c r="I48" s="17"/>
      <c r="J48" s="32"/>
    </row>
    <row r="49" spans="1:10" x14ac:dyDescent="0.25">
      <c r="A49" s="2" t="s">
        <v>33</v>
      </c>
      <c r="B49" s="17">
        <f>'AAA Funds'!F49</f>
        <v>91961.310000000056</v>
      </c>
      <c r="C49" s="17">
        <f>'RSVP Funds'!F49</f>
        <v>38.21</v>
      </c>
      <c r="D49" s="17">
        <f>'CYS Funds'!R49</f>
        <v>-787716.70000000007</v>
      </c>
      <c r="E49" s="17">
        <f>'Substance Abuse'!I49</f>
        <v>44567.429999999782</v>
      </c>
      <c r="F49" s="17">
        <f>'Mental Health Funds'!K49</f>
        <v>121910.54000000039</v>
      </c>
      <c r="G49" s="17">
        <f>'Mental Retardation Funds'!O49</f>
        <v>141070.40000000026</v>
      </c>
      <c r="H49" s="32"/>
      <c r="I49" s="17">
        <f>SUM(B49:H49)</f>
        <v>-388168.80999999959</v>
      </c>
      <c r="J49" s="32"/>
    </row>
    <row r="50" spans="1:10" x14ac:dyDescent="0.25">
      <c r="A50" s="2"/>
      <c r="B50" s="6"/>
      <c r="C50" s="6"/>
      <c r="D50" s="6"/>
      <c r="E50" s="6"/>
      <c r="G50" s="6"/>
      <c r="I50" s="6"/>
    </row>
    <row r="51" spans="1:10" x14ac:dyDescent="0.25">
      <c r="A51" s="35" t="s">
        <v>300</v>
      </c>
      <c r="B51" s="6">
        <f>'AAA Funds'!F51</f>
        <v>10620</v>
      </c>
      <c r="C51" s="6">
        <f>'RSVP Funds'!F51</f>
        <v>0</v>
      </c>
      <c r="D51" s="6">
        <f>'CYS Funds'!R51</f>
        <v>3060</v>
      </c>
      <c r="E51" s="6">
        <f>'Substance Abuse'!I51</f>
        <v>0</v>
      </c>
      <c r="F51" s="6">
        <f>'Mental Health Funds'!K51</f>
        <v>6840</v>
      </c>
      <c r="G51" s="6">
        <f>'Mental Retardation Funds'!O51</f>
        <v>0</v>
      </c>
      <c r="I51" s="6">
        <f>SUM(B51:H51)</f>
        <v>20520</v>
      </c>
    </row>
    <row r="52" spans="1:10" x14ac:dyDescent="0.25">
      <c r="A52" t="s">
        <v>34</v>
      </c>
      <c r="B52" s="6">
        <f>'AAA Funds'!F52</f>
        <v>46547</v>
      </c>
      <c r="C52" s="6">
        <f>'RSVP Funds'!F52</f>
        <v>0</v>
      </c>
      <c r="D52" s="6">
        <f>'CYS Funds'!R52</f>
        <v>1200040</v>
      </c>
      <c r="E52" s="6">
        <f>'Substance Abuse'!I52</f>
        <v>51261.75</v>
      </c>
      <c r="F52" s="6">
        <f>'Mental Health Funds'!K52</f>
        <v>586.9</v>
      </c>
      <c r="G52" s="6">
        <f>'Mental Retardation Funds'!O52</f>
        <v>38506.01</v>
      </c>
      <c r="I52" s="6">
        <f>SUM(B52:H52)</f>
        <v>1336941.6599999999</v>
      </c>
    </row>
    <row r="53" spans="1:10" x14ac:dyDescent="0.25">
      <c r="A53" t="s">
        <v>35</v>
      </c>
      <c r="B53" s="6">
        <f>'AAA Funds'!F53</f>
        <v>149128.31</v>
      </c>
      <c r="C53" s="6">
        <f>'RSVP Funds'!F53</f>
        <v>0</v>
      </c>
      <c r="D53" s="6">
        <f>'CYS Funds'!R53</f>
        <v>420026.67</v>
      </c>
      <c r="E53" s="6">
        <f>'Substance Abuse'!I53</f>
        <v>96207.760000000009</v>
      </c>
      <c r="F53" s="6">
        <f>'Mental Health Funds'!K53</f>
        <v>129337.02</v>
      </c>
      <c r="G53" s="6">
        <f>'Mental Retardation Funds'!O53</f>
        <v>179576.41</v>
      </c>
      <c r="I53" s="6">
        <f>SUM(B53:H53)</f>
        <v>974276.17</v>
      </c>
    </row>
    <row r="54" spans="1:10" x14ac:dyDescent="0.25">
      <c r="A54" s="2" t="s">
        <v>36</v>
      </c>
      <c r="B54" s="6">
        <f>'AAA Funds'!F54</f>
        <v>-91961.31</v>
      </c>
      <c r="C54" s="6">
        <f>'RSVP Funds'!F54</f>
        <v>0</v>
      </c>
      <c r="D54" s="6">
        <f>'CYS Funds'!R54</f>
        <v>783073.33000000007</v>
      </c>
      <c r="E54" s="6">
        <f>'Substance Abuse'!I54</f>
        <v>-44946.01</v>
      </c>
      <c r="F54" s="6">
        <f>'Mental Health Funds'!K54</f>
        <v>-121910.12000000001</v>
      </c>
      <c r="G54" s="6">
        <f>'Mental Retardation Funds'!O54</f>
        <v>-141070.39999999999</v>
      </c>
      <c r="I54" s="6">
        <f>SUM(B54:H54)</f>
        <v>383185.49</v>
      </c>
    </row>
    <row r="55" spans="1:10" x14ac:dyDescent="0.25">
      <c r="B55" s="6"/>
      <c r="C55" s="6"/>
      <c r="D55" s="6"/>
      <c r="E55" s="6"/>
      <c r="G55" s="6"/>
      <c r="I55" s="6"/>
    </row>
    <row r="56" spans="1:10" x14ac:dyDescent="0.25">
      <c r="A56" s="2" t="s">
        <v>37</v>
      </c>
      <c r="B56" s="6">
        <f>'AAA Funds'!F56</f>
        <v>0</v>
      </c>
      <c r="C56" s="6">
        <f>'RSVP Funds'!F56</f>
        <v>38.21</v>
      </c>
      <c r="D56" s="6">
        <f>'CYS Funds'!R56</f>
        <v>-4643.37</v>
      </c>
      <c r="E56" s="6">
        <f>'Substance Abuse'!I56</f>
        <v>-378.58000000022002</v>
      </c>
      <c r="F56" s="6">
        <f>'Mental Health Funds'!K56</f>
        <v>0.42000000037012342</v>
      </c>
      <c r="G56" s="6">
        <f>'Mental Retardation Funds'!O56</f>
        <v>2.712476996485913E-10</v>
      </c>
      <c r="I56" s="6">
        <f>I49+I54</f>
        <v>-4983.3199999995995</v>
      </c>
    </row>
    <row r="57" spans="1:10" x14ac:dyDescent="0.25">
      <c r="A57" t="s">
        <v>38</v>
      </c>
      <c r="B57" s="6">
        <f>'AAA Funds'!F57</f>
        <v>-0.71000000000000085</v>
      </c>
      <c r="C57" s="6">
        <f>'RSVP Funds'!F57</f>
        <v>18606.920000000002</v>
      </c>
      <c r="D57" s="6">
        <f>'CYS Funds'!R57</f>
        <v>36212.990000000005</v>
      </c>
      <c r="E57" s="6">
        <f>'Substance Abuse'!I57</f>
        <v>295571.98000000021</v>
      </c>
      <c r="F57" s="6">
        <f>'Mental Health Funds'!K57</f>
        <v>-0.88000000037012804</v>
      </c>
      <c r="G57" s="6">
        <f>'Mental Retardation Funds'!O57</f>
        <v>0.76999999972874544</v>
      </c>
      <c r="I57" s="6">
        <f>I58-I56</f>
        <v>350391.06999999954</v>
      </c>
    </row>
    <row r="58" spans="1:10" x14ac:dyDescent="0.25">
      <c r="A58" s="2" t="s">
        <v>39</v>
      </c>
      <c r="B58" s="6">
        <f>'AAA Funds'!F58</f>
        <v>-0.71000000000000085</v>
      </c>
      <c r="C58" s="6">
        <f>'RSVP Funds'!F58</f>
        <v>18645.13</v>
      </c>
      <c r="D58" s="6">
        <f>'CYS Funds'!R58</f>
        <v>31569.620000000003</v>
      </c>
      <c r="E58" s="6">
        <f>'Substance Abuse'!I58</f>
        <v>295193.39999999997</v>
      </c>
      <c r="F58" s="6">
        <f>'Mental Health Funds'!K58</f>
        <v>-0.46000000000000463</v>
      </c>
      <c r="G58" s="6">
        <f>'Mental Retardation Funds'!O58</f>
        <v>0.76999999999999313</v>
      </c>
      <c r="I58" s="6">
        <f>I28</f>
        <v>345407.74999999994</v>
      </c>
    </row>
  </sheetData>
  <sheetProtection sheet="1" objects="1" scenarios="1"/>
  <customSheetViews>
    <customSheetView guid="{E68B3865-8D72-47E7-BE32-0FF7EB09E889}" fitToPage="1">
      <pane xSplit="1" ySplit="5" topLeftCell="B9" activePane="bottomRight" state="frozen"/>
      <selection pane="bottomRight" activeCell="H1" sqref="H1:H1048576"/>
      <pageMargins left="0.7" right="0.7" top="0.75" bottom="0.75" header="0.3" footer="0.3"/>
      <pageSetup scale="61" orientation="portrait" r:id="rId1"/>
    </customSheetView>
    <customSheetView guid="{DE6E911D-85BF-467A-AA00-1E84C5349CF7}" fitToPage="1">
      <pane xSplit="1" ySplit="5" topLeftCell="B9" activePane="bottomRight" state="frozen"/>
      <selection pane="bottomRight" activeCell="H1" sqref="H1:H1048576"/>
      <pageMargins left="0.7" right="0.7" top="0.75" bottom="0.75" header="0.3" footer="0.3"/>
      <pageSetup scale="61" orientation="portrait" r:id="rId2"/>
    </customSheetView>
    <customSheetView guid="{A6F79E61-D6A3-44FD-B4A4-4724DF74349B}" showPageBreaks="1" fitToPage="1">
      <pane xSplit="1" ySplit="5" topLeftCell="B15" activePane="bottomRight" state="frozen"/>
      <selection pane="bottomRight" activeCell="D18" sqref="D18"/>
      <pageMargins left="0.7" right="0.7" top="0.75" bottom="0.75" header="0.3" footer="0.3"/>
      <pageSetup scale="57" orientation="portrait" horizontalDpi="1200" r:id="rId3"/>
    </customSheetView>
    <customSheetView guid="{EC03C3C8-7E57-47C6-8413-F484E8C46A0C}" showPageBreaks="1" fitToPage="1">
      <pane xSplit="1" ySplit="5" topLeftCell="B45" activePane="bottomRight" state="frozen"/>
      <selection pane="bottomRight" activeCell="I52" sqref="I52"/>
      <pageMargins left="0.7" right="0.7" top="0.75" bottom="0.75" header="0.3" footer="0.3"/>
      <pageSetup scale="57" orientation="portrait" horizontalDpi="1200" r:id="rId4"/>
    </customSheetView>
    <customSheetView guid="{2B2709E2-6DF4-4CC4-88D0-056FB306137C}" fitToPage="1">
      <pane xSplit="1" ySplit="5" topLeftCell="B33" activePane="bottomRight" state="frozen"/>
      <selection pane="bottomRight" activeCell="C57" sqref="C57"/>
      <pageMargins left="0.7" right="0.7" top="0.75" bottom="0.75" header="0.3" footer="0.3"/>
      <pageSetup scale="66" orientation="portrait" horizontalDpi="1200" r:id="rId5"/>
    </customSheetView>
  </customSheetViews>
  <pageMargins left="0.7" right="0.7" top="0.75" bottom="0.75" header="0.3" footer="0.3"/>
  <pageSetup scale="61" orientation="portrait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zoomScale="93" zoomScaleNormal="93" workbookViewId="0">
      <pane xSplit="1" ySplit="6" topLeftCell="R55" activePane="bottomRight" state="frozen"/>
      <selection pane="topRight" activeCell="B1" sqref="B1"/>
      <selection pane="bottomLeft" activeCell="A7" sqref="A7"/>
      <selection pane="bottomRight" activeCell="AF72" sqref="AF72"/>
    </sheetView>
  </sheetViews>
  <sheetFormatPr defaultRowHeight="15" outlineLevelCol="1" x14ac:dyDescent="0.25"/>
  <cols>
    <col min="1" max="1" width="31" customWidth="1"/>
    <col min="2" max="2" width="15.85546875" style="6" customWidth="1"/>
    <col min="3" max="3" width="14.85546875" style="6" bestFit="1" customWidth="1"/>
    <col min="4" max="4" width="12.7109375" style="17" bestFit="1" customWidth="1"/>
    <col min="5" max="6" width="11.85546875" style="17" bestFit="1" customWidth="1"/>
    <col min="7" max="7" width="13.5703125" customWidth="1"/>
    <col min="9" max="10" width="11.85546875" style="17" customWidth="1" outlineLevel="1"/>
    <col min="11" max="11" width="11.85546875" style="17" customWidth="1"/>
    <col min="12" max="12" width="11.85546875" style="17" bestFit="1" customWidth="1"/>
    <col min="13" max="14" width="11.85546875" style="6" bestFit="1" customWidth="1"/>
    <col min="15" max="16" width="12.5703125" style="6" customWidth="1" outlineLevel="1"/>
    <col min="17" max="17" width="12.5703125" style="6" customWidth="1"/>
    <col min="18" max="18" width="14.140625" customWidth="1"/>
    <col min="19" max="19" width="13.42578125" style="43" bestFit="1" customWidth="1" outlineLevel="1"/>
    <col min="20" max="20" width="11.5703125" bestFit="1" customWidth="1" outlineLevel="1"/>
    <col min="21" max="21" width="11.85546875" bestFit="1" customWidth="1"/>
    <col min="22" max="22" width="13.42578125" style="43" bestFit="1" customWidth="1" outlineLevel="1"/>
    <col min="23" max="23" width="12.28515625" customWidth="1" outlineLevel="1"/>
    <col min="24" max="24" width="11.85546875" bestFit="1" customWidth="1"/>
    <col min="25" max="25" width="10.85546875" bestFit="1" customWidth="1"/>
    <col min="26" max="26" width="14.140625" customWidth="1"/>
    <col min="27" max="27" width="14.42578125" customWidth="1"/>
    <col min="28" max="28" width="14.140625" customWidth="1"/>
    <col min="30" max="30" width="16" customWidth="1"/>
    <col min="31" max="32" width="12.7109375" bestFit="1" customWidth="1" outlineLevel="1"/>
    <col min="33" max="33" width="12.7109375" bestFit="1" customWidth="1"/>
    <col min="34" max="34" width="13.5703125" style="6" bestFit="1" customWidth="1"/>
    <col min="35" max="35" width="13.5703125" bestFit="1" customWidth="1"/>
  </cols>
  <sheetData>
    <row r="1" spans="1:35" ht="23.25" x14ac:dyDescent="0.35">
      <c r="A1" s="5" t="s">
        <v>53</v>
      </c>
    </row>
    <row r="2" spans="1:35" x14ac:dyDescent="0.25">
      <c r="A2" t="s">
        <v>1</v>
      </c>
    </row>
    <row r="3" spans="1:35" x14ac:dyDescent="0.25">
      <c r="A3" s="1">
        <f>'ALL GOVERNMENT FUNDS'!A3</f>
        <v>43830</v>
      </c>
    </row>
    <row r="4" spans="1:35" x14ac:dyDescent="0.25">
      <c r="A4" s="1"/>
    </row>
    <row r="5" spans="1:35" ht="60" x14ac:dyDescent="0.25">
      <c r="A5" s="1"/>
      <c r="B5" s="7" t="s">
        <v>54</v>
      </c>
      <c r="C5" s="7" t="s">
        <v>55</v>
      </c>
      <c r="D5" s="7" t="s">
        <v>224</v>
      </c>
      <c r="E5" s="18" t="s">
        <v>64</v>
      </c>
      <c r="F5" s="18" t="s">
        <v>314</v>
      </c>
      <c r="G5" s="107" t="s">
        <v>400</v>
      </c>
      <c r="I5" s="18" t="s">
        <v>68</v>
      </c>
      <c r="J5" s="18" t="s">
        <v>233</v>
      </c>
      <c r="K5" s="18" t="s">
        <v>230</v>
      </c>
      <c r="L5" s="18" t="s">
        <v>69</v>
      </c>
      <c r="M5" s="7" t="s">
        <v>70</v>
      </c>
      <c r="N5" s="7" t="s">
        <v>71</v>
      </c>
      <c r="O5" s="7" t="s">
        <v>72</v>
      </c>
      <c r="P5" s="7" t="s">
        <v>234</v>
      </c>
      <c r="Q5" s="7" t="s">
        <v>231</v>
      </c>
      <c r="R5" s="7" t="s">
        <v>74</v>
      </c>
      <c r="S5" s="44" t="s">
        <v>75</v>
      </c>
      <c r="T5" s="7" t="s">
        <v>47</v>
      </c>
      <c r="U5" s="7" t="s">
        <v>91</v>
      </c>
      <c r="V5" s="44" t="s">
        <v>76</v>
      </c>
      <c r="W5" s="7" t="s">
        <v>47</v>
      </c>
      <c r="X5" s="7" t="s">
        <v>92</v>
      </c>
      <c r="Y5" s="7" t="s">
        <v>77</v>
      </c>
      <c r="Z5" s="7" t="s">
        <v>78</v>
      </c>
      <c r="AA5" s="7" t="s">
        <v>243</v>
      </c>
      <c r="AB5" s="7" t="s">
        <v>79</v>
      </c>
      <c r="AD5" s="7" t="s">
        <v>81</v>
      </c>
      <c r="AE5" s="7" t="s">
        <v>82</v>
      </c>
      <c r="AF5" s="7" t="s">
        <v>47</v>
      </c>
      <c r="AG5" s="7" t="s">
        <v>185</v>
      </c>
      <c r="AH5" s="7" t="s">
        <v>65</v>
      </c>
      <c r="AI5" s="26" t="s">
        <v>84</v>
      </c>
    </row>
    <row r="6" spans="1:35" x14ac:dyDescent="0.25">
      <c r="R6" s="6"/>
      <c r="T6" s="6"/>
      <c r="U6" s="6"/>
      <c r="W6" s="6"/>
      <c r="X6" s="6"/>
      <c r="Y6" s="6"/>
      <c r="Z6" s="6"/>
      <c r="AA6" s="6"/>
      <c r="AB6" s="6"/>
      <c r="AD6" s="6"/>
      <c r="AE6" s="6"/>
      <c r="AF6" s="6"/>
      <c r="AG6" s="6"/>
      <c r="AI6" s="26"/>
    </row>
    <row r="7" spans="1:35" x14ac:dyDescent="0.25">
      <c r="A7" s="3" t="s">
        <v>2</v>
      </c>
      <c r="B7" s="16"/>
      <c r="C7" s="16"/>
      <c r="R7" s="6"/>
      <c r="T7" s="6"/>
      <c r="U7" s="6"/>
      <c r="W7" s="6"/>
      <c r="X7" s="6"/>
      <c r="Y7" s="6"/>
      <c r="Z7" s="6"/>
      <c r="AA7" s="6"/>
      <c r="AB7" s="6"/>
      <c r="AD7" s="6"/>
      <c r="AE7" s="6"/>
      <c r="AF7" s="6"/>
      <c r="AG7" s="6"/>
      <c r="AI7" s="26"/>
    </row>
    <row r="8" spans="1:35" x14ac:dyDescent="0.25">
      <c r="A8" s="4" t="s">
        <v>3</v>
      </c>
      <c r="B8" s="20">
        <v>1396466.54</v>
      </c>
      <c r="C8" s="20">
        <v>16237.4</v>
      </c>
      <c r="D8" s="17">
        <f>'Airport Funds'!I8</f>
        <v>-217577.51</v>
      </c>
      <c r="E8" s="20">
        <v>84740.23</v>
      </c>
      <c r="F8" s="20">
        <v>339366.45</v>
      </c>
      <c r="G8" s="20">
        <v>43126.07</v>
      </c>
      <c r="I8" s="20">
        <v>311827.71999999997</v>
      </c>
      <c r="J8" s="20"/>
      <c r="K8" s="19">
        <f>SUM(I8:J8)</f>
        <v>311827.71999999997</v>
      </c>
      <c r="L8" s="20">
        <v>480086.37</v>
      </c>
      <c r="M8" s="20">
        <v>9179.02</v>
      </c>
      <c r="N8" s="20">
        <v>35588.519999999997</v>
      </c>
      <c r="O8" s="20">
        <v>17874.330000000002</v>
      </c>
      <c r="P8" s="20"/>
      <c r="Q8" s="16">
        <f t="shared" ref="Q8:Q52" si="0">SUM(O8:P8)</f>
        <v>17874.330000000002</v>
      </c>
      <c r="R8" s="33">
        <f>CDBG!H8</f>
        <v>-65191.91</v>
      </c>
      <c r="S8" s="45">
        <v>-40120.31</v>
      </c>
      <c r="T8" s="20"/>
      <c r="U8" s="6">
        <f t="shared" ref="U8:U13" si="1">S8+T8</f>
        <v>-40120.31</v>
      </c>
      <c r="V8" s="46">
        <v>-72502.259999999995</v>
      </c>
      <c r="W8" s="20"/>
      <c r="X8" s="6">
        <f t="shared" ref="X8:X13" si="2">V8+W8</f>
        <v>-72502.259999999995</v>
      </c>
      <c r="Y8" s="6">
        <f>'OEO-Weatherization'!H8</f>
        <v>30141.61</v>
      </c>
      <c r="Z8" s="6">
        <f>'OEO-Other'!Y8</f>
        <v>729552.05</v>
      </c>
      <c r="AA8" s="6">
        <f>'Transportation Fund'!Y8</f>
        <v>-206733.41</v>
      </c>
      <c r="AB8" s="6">
        <f>'Special Purpose '!E8</f>
        <v>173884.34</v>
      </c>
      <c r="AD8" s="20">
        <v>11261.01</v>
      </c>
      <c r="AE8" s="20">
        <v>738564.24</v>
      </c>
      <c r="AF8" s="20"/>
      <c r="AG8" s="6">
        <f t="shared" ref="AG8:AG13" si="3">AE8+AF8</f>
        <v>738564.24</v>
      </c>
      <c r="AH8" s="6">
        <f>'911'!H8</f>
        <v>564948.44999999995</v>
      </c>
      <c r="AI8" s="26">
        <f t="shared" ref="AI8:AI13" si="4">B8+C8+D8+E8+F8+G8+K8+L8+M8+N8+Q8+R8+U8+X8+Y8+Z8+AA8+AB8+AD8+AG8+AH8</f>
        <v>4380718.95</v>
      </c>
    </row>
    <row r="9" spans="1:35" x14ac:dyDescent="0.25">
      <c r="A9" s="4" t="s">
        <v>4</v>
      </c>
      <c r="B9" s="20"/>
      <c r="C9" s="20"/>
      <c r="D9" s="17">
        <f>'Airport Funds'!I9</f>
        <v>439142.49</v>
      </c>
      <c r="E9" s="20">
        <v>1375</v>
      </c>
      <c r="F9" s="20"/>
      <c r="G9" s="20"/>
      <c r="I9" s="20"/>
      <c r="J9" s="20"/>
      <c r="K9" s="19">
        <f>SUM(I9:J9)</f>
        <v>0</v>
      </c>
      <c r="L9" s="20"/>
      <c r="M9" s="20"/>
      <c r="N9" s="20"/>
      <c r="O9" s="20"/>
      <c r="P9" s="20"/>
      <c r="Q9" s="16">
        <f t="shared" si="0"/>
        <v>0</v>
      </c>
      <c r="R9" s="33">
        <f>CDBG!H9</f>
        <v>0</v>
      </c>
      <c r="S9" s="45">
        <f>99444-99444</f>
        <v>0</v>
      </c>
      <c r="T9" s="20"/>
      <c r="U9" s="6">
        <f t="shared" si="1"/>
        <v>0</v>
      </c>
      <c r="V9" s="50">
        <v>80457.25</v>
      </c>
      <c r="W9" s="20"/>
      <c r="X9" s="6">
        <f t="shared" si="2"/>
        <v>80457.25</v>
      </c>
      <c r="Y9" s="6">
        <f>'OEO-Weatherization'!H9</f>
        <v>1501</v>
      </c>
      <c r="Z9" s="6">
        <f>'OEO-Other'!Y9</f>
        <v>9114.66</v>
      </c>
      <c r="AA9" s="6">
        <f>'Transportation Fund'!Y9</f>
        <v>0</v>
      </c>
      <c r="AB9" s="6">
        <f>'Special Purpose '!E9</f>
        <v>0</v>
      </c>
      <c r="AD9" s="20"/>
      <c r="AE9" s="20">
        <v>134039</v>
      </c>
      <c r="AF9" s="20"/>
      <c r="AG9" s="6">
        <f t="shared" si="3"/>
        <v>134039</v>
      </c>
      <c r="AH9" s="6">
        <f>'911'!H9</f>
        <v>372561.74</v>
      </c>
      <c r="AI9" s="26">
        <f t="shared" si="4"/>
        <v>1038191.14</v>
      </c>
    </row>
    <row r="10" spans="1:35" x14ac:dyDescent="0.25">
      <c r="A10" s="4" t="s">
        <v>6</v>
      </c>
      <c r="B10" s="20"/>
      <c r="C10" s="20">
        <v>8398.17</v>
      </c>
      <c r="D10" s="17">
        <f>'Airport Funds'!I10</f>
        <v>0</v>
      </c>
      <c r="E10" s="20"/>
      <c r="F10" s="20"/>
      <c r="G10" s="20"/>
      <c r="I10" s="20">
        <v>556.82000000000005</v>
      </c>
      <c r="J10" s="20"/>
      <c r="K10" s="19">
        <f>SUM(I10:J10)</f>
        <v>556.82000000000005</v>
      </c>
      <c r="L10" s="20">
        <v>5797.04</v>
      </c>
      <c r="M10" s="20">
        <v>142.94</v>
      </c>
      <c r="N10" s="20"/>
      <c r="O10" s="20">
        <v>568.27</v>
      </c>
      <c r="P10" s="20"/>
      <c r="Q10" s="16">
        <f t="shared" si="0"/>
        <v>568.27</v>
      </c>
      <c r="R10" s="33">
        <f>CDBG!H10</f>
        <v>0</v>
      </c>
      <c r="S10" s="45">
        <v>3256.84</v>
      </c>
      <c r="T10" s="20"/>
      <c r="U10" s="6">
        <f t="shared" si="1"/>
        <v>3256.84</v>
      </c>
      <c r="V10" s="46">
        <v>1094.5</v>
      </c>
      <c r="W10" s="20"/>
      <c r="X10" s="6">
        <f t="shared" si="2"/>
        <v>1094.5</v>
      </c>
      <c r="Y10" s="6">
        <f>'OEO-Weatherization'!H10</f>
        <v>1458.2</v>
      </c>
      <c r="Z10" s="6">
        <f>'OEO-Other'!Y10</f>
        <v>4781.33</v>
      </c>
      <c r="AA10" s="6">
        <f>'Transportation Fund'!Y10</f>
        <v>1343.58</v>
      </c>
      <c r="AB10" s="6">
        <f>'Special Purpose '!E10</f>
        <v>0</v>
      </c>
      <c r="AD10" s="20"/>
      <c r="AE10" s="20"/>
      <c r="AF10" s="20"/>
      <c r="AG10" s="6">
        <f t="shared" si="3"/>
        <v>0</v>
      </c>
      <c r="AH10" s="6">
        <f>'911'!H10</f>
        <v>0</v>
      </c>
      <c r="AI10" s="26">
        <f t="shared" si="4"/>
        <v>27397.690000000002</v>
      </c>
    </row>
    <row r="11" spans="1:35" x14ac:dyDescent="0.25">
      <c r="A11" s="4" t="s">
        <v>5</v>
      </c>
      <c r="B11" s="20"/>
      <c r="C11" s="20"/>
      <c r="D11" s="17">
        <f>'Airport Funds'!I11</f>
        <v>0</v>
      </c>
      <c r="E11" s="20"/>
      <c r="F11" s="20"/>
      <c r="G11" s="20"/>
      <c r="I11" s="20"/>
      <c r="J11" s="20"/>
      <c r="K11" s="19">
        <f>SUM(I11:J11)</f>
        <v>0</v>
      </c>
      <c r="L11" s="20"/>
      <c r="M11" s="20"/>
      <c r="N11" s="20"/>
      <c r="O11" s="20"/>
      <c r="P11" s="20"/>
      <c r="Q11" s="16">
        <f t="shared" si="0"/>
        <v>0</v>
      </c>
      <c r="R11" s="33">
        <f>CDBG!H11</f>
        <v>123446.76</v>
      </c>
      <c r="S11" s="45">
        <v>99444</v>
      </c>
      <c r="T11" s="20"/>
      <c r="U11" s="6">
        <f t="shared" si="1"/>
        <v>99444</v>
      </c>
      <c r="V11" s="46"/>
      <c r="W11" s="20"/>
      <c r="X11" s="6">
        <f t="shared" si="2"/>
        <v>0</v>
      </c>
      <c r="Y11" s="6">
        <f>'OEO-Weatherization'!H11</f>
        <v>2641</v>
      </c>
      <c r="Z11" s="6">
        <f>'OEO-Other'!Y11</f>
        <v>12668.97</v>
      </c>
      <c r="AA11" s="6">
        <f>'Transportation Fund'!Y11</f>
        <v>315494.23</v>
      </c>
      <c r="AB11" s="6">
        <f>'Special Purpose '!E11</f>
        <v>0</v>
      </c>
      <c r="AD11" s="20"/>
      <c r="AE11" s="20">
        <f>134039-134039</f>
        <v>0</v>
      </c>
      <c r="AF11" s="20"/>
      <c r="AG11" s="6">
        <f t="shared" si="3"/>
        <v>0</v>
      </c>
      <c r="AH11" s="6">
        <f>'911'!H11</f>
        <v>0</v>
      </c>
      <c r="AI11" s="26">
        <f t="shared" si="4"/>
        <v>553694.96</v>
      </c>
    </row>
    <row r="12" spans="1:35" x14ac:dyDescent="0.25">
      <c r="A12" s="4" t="s">
        <v>61</v>
      </c>
      <c r="B12" s="20"/>
      <c r="C12" s="20"/>
      <c r="D12" s="17">
        <f>'Airport Funds'!I12</f>
        <v>69415.11</v>
      </c>
      <c r="E12" s="20"/>
      <c r="F12" s="20"/>
      <c r="G12" s="20"/>
      <c r="I12" s="20"/>
      <c r="J12" s="20"/>
      <c r="K12" s="19">
        <f>SUM(I12:J12)</f>
        <v>0</v>
      </c>
      <c r="L12" s="20"/>
      <c r="M12" s="20"/>
      <c r="N12" s="20"/>
      <c r="O12" s="20"/>
      <c r="P12" s="20"/>
      <c r="Q12" s="16">
        <f t="shared" si="0"/>
        <v>0</v>
      </c>
      <c r="R12" s="33">
        <f>CDBG!H12</f>
        <v>0</v>
      </c>
      <c r="S12" s="45">
        <f>3256.84-3256.84</f>
        <v>0</v>
      </c>
      <c r="T12" s="20"/>
      <c r="U12" s="6">
        <f t="shared" si="1"/>
        <v>0</v>
      </c>
      <c r="V12" s="46">
        <f>1094.5-1094.5</f>
        <v>0</v>
      </c>
      <c r="W12" s="20"/>
      <c r="X12" s="6">
        <f t="shared" si="2"/>
        <v>0</v>
      </c>
      <c r="Y12" s="6">
        <f>'OEO-Weatherization'!H12</f>
        <v>0</v>
      </c>
      <c r="Z12" s="6">
        <f>'OEO-Other'!Y12</f>
        <v>0</v>
      </c>
      <c r="AA12" s="6">
        <f>'Transportation Fund'!Y12</f>
        <v>0</v>
      </c>
      <c r="AB12" s="6">
        <f>'Special Purpose '!E12</f>
        <v>3000</v>
      </c>
      <c r="AD12" s="20"/>
      <c r="AE12" s="20"/>
      <c r="AF12" s="20"/>
      <c r="AG12" s="6">
        <f t="shared" si="3"/>
        <v>0</v>
      </c>
      <c r="AH12" s="6">
        <f>'911'!H12</f>
        <v>0</v>
      </c>
      <c r="AI12" s="26">
        <f t="shared" si="4"/>
        <v>72415.11</v>
      </c>
    </row>
    <row r="13" spans="1:35" x14ac:dyDescent="0.25">
      <c r="A13" s="2" t="s">
        <v>7</v>
      </c>
      <c r="B13" s="6">
        <f>SUM(B8:B12)</f>
        <v>1396466.54</v>
      </c>
      <c r="C13" s="6">
        <f>SUM(C8:C12)</f>
        <v>24635.57</v>
      </c>
      <c r="D13" s="17">
        <f>'Airport Funds'!I13</f>
        <v>290980.09000000003</v>
      </c>
      <c r="E13" s="17">
        <f>SUM(E8:E12)</f>
        <v>86115.23</v>
      </c>
      <c r="F13" s="17">
        <f>SUM(F8:F12)</f>
        <v>339366.45</v>
      </c>
      <c r="G13" s="17">
        <f>SUM(G8:G12)</f>
        <v>43126.07</v>
      </c>
      <c r="I13" s="17">
        <f t="shared" ref="I13:P13" si="5">SUM(I8:I12)</f>
        <v>312384.53999999998</v>
      </c>
      <c r="J13" s="17">
        <f t="shared" si="5"/>
        <v>0</v>
      </c>
      <c r="K13" s="17">
        <f t="shared" si="5"/>
        <v>312384.53999999998</v>
      </c>
      <c r="L13" s="17">
        <f t="shared" si="5"/>
        <v>485883.41</v>
      </c>
      <c r="M13" s="6">
        <f t="shared" si="5"/>
        <v>9321.9600000000009</v>
      </c>
      <c r="N13" s="6">
        <f t="shared" si="5"/>
        <v>35588.519999999997</v>
      </c>
      <c r="O13" s="6">
        <f t="shared" si="5"/>
        <v>18442.600000000002</v>
      </c>
      <c r="P13" s="6">
        <f t="shared" si="5"/>
        <v>0</v>
      </c>
      <c r="Q13" s="16">
        <f t="shared" si="0"/>
        <v>18442.600000000002</v>
      </c>
      <c r="R13" s="6">
        <f>CDBG!H13</f>
        <v>58254.849999999991</v>
      </c>
      <c r="S13" s="43">
        <f>ROUND(SUM(S8:S12),2)</f>
        <v>62580.53</v>
      </c>
      <c r="T13" s="6">
        <f>SUM(T8:T12)</f>
        <v>0</v>
      </c>
      <c r="U13" s="6">
        <f t="shared" si="1"/>
        <v>62580.53</v>
      </c>
      <c r="V13" s="43">
        <f>SUM(V8:V12)</f>
        <v>9049.4900000000052</v>
      </c>
      <c r="W13" s="6">
        <f>SUM(W8:W12)</f>
        <v>0</v>
      </c>
      <c r="X13" s="6">
        <f t="shared" si="2"/>
        <v>9049.4900000000052</v>
      </c>
      <c r="Y13" s="6">
        <f>'OEO-Weatherization'!H13</f>
        <v>35741.81</v>
      </c>
      <c r="Z13" s="6">
        <f>'OEO-Other'!Y13</f>
        <v>756117.01</v>
      </c>
      <c r="AA13" s="6">
        <f>'Transportation Fund'!Y13</f>
        <v>110104.39999999997</v>
      </c>
      <c r="AB13" s="6">
        <f>'Special Purpose '!E13</f>
        <v>176884.34</v>
      </c>
      <c r="AD13" s="6">
        <f>SUM(AD8:AD12)</f>
        <v>11261.01</v>
      </c>
      <c r="AE13" s="6">
        <f>SUM(AE8:AE12)</f>
        <v>872603.24</v>
      </c>
      <c r="AF13" s="6">
        <f>SUM(AF8:AF12)</f>
        <v>0</v>
      </c>
      <c r="AG13" s="6">
        <f t="shared" si="3"/>
        <v>872603.24</v>
      </c>
      <c r="AH13" s="6">
        <f>'911'!H13</f>
        <v>937510.19</v>
      </c>
      <c r="AI13" s="26">
        <f t="shared" si="4"/>
        <v>6072417.8500000015</v>
      </c>
    </row>
    <row r="14" spans="1:35" x14ac:dyDescent="0.25">
      <c r="K14" s="19">
        <f t="shared" ref="K14:K47" si="6">SUM(I14:J14)</f>
        <v>0</v>
      </c>
      <c r="Q14" s="16">
        <f t="shared" si="0"/>
        <v>0</v>
      </c>
      <c r="R14" s="6"/>
      <c r="T14" s="6"/>
      <c r="U14" s="6"/>
      <c r="W14" s="6"/>
      <c r="X14" s="6"/>
      <c r="Y14" s="6"/>
      <c r="Z14" s="6"/>
      <c r="AA14" s="6"/>
      <c r="AB14" s="6"/>
      <c r="AD14" s="6"/>
      <c r="AE14" s="6"/>
      <c r="AF14" s="6"/>
      <c r="AG14" s="6"/>
      <c r="AI14" s="26"/>
    </row>
    <row r="15" spans="1:35" x14ac:dyDescent="0.25">
      <c r="A15" s="3" t="s">
        <v>8</v>
      </c>
      <c r="K15" s="19">
        <f t="shared" si="6"/>
        <v>0</v>
      </c>
      <c r="Q15" s="16">
        <f t="shared" si="0"/>
        <v>0</v>
      </c>
      <c r="R15" s="6"/>
      <c r="T15" s="6"/>
      <c r="U15" s="6"/>
      <c r="W15" s="6"/>
      <c r="X15" s="6"/>
      <c r="Y15" s="6"/>
      <c r="Z15" s="6"/>
      <c r="AA15" s="6"/>
      <c r="AB15" s="6"/>
      <c r="AD15" s="6"/>
      <c r="AE15" s="6"/>
      <c r="AF15" s="6"/>
      <c r="AG15" s="6"/>
      <c r="AI15" s="26"/>
    </row>
    <row r="16" spans="1:35" x14ac:dyDescent="0.25">
      <c r="A16" s="4" t="s">
        <v>9</v>
      </c>
      <c r="B16" s="20">
        <v>5812.5</v>
      </c>
      <c r="C16" s="20"/>
      <c r="D16" s="17">
        <f>'Airport Funds'!I16</f>
        <v>229723.3</v>
      </c>
      <c r="E16" s="20"/>
      <c r="F16" s="20"/>
      <c r="G16" s="20"/>
      <c r="I16" s="20">
        <v>1076.23</v>
      </c>
      <c r="J16" s="20"/>
      <c r="K16" s="19">
        <f t="shared" si="6"/>
        <v>1076.23</v>
      </c>
      <c r="L16" s="20">
        <v>40.04</v>
      </c>
      <c r="M16" s="20"/>
      <c r="N16" s="20">
        <v>707.07</v>
      </c>
      <c r="O16" s="20"/>
      <c r="P16" s="20"/>
      <c r="Q16" s="16">
        <f t="shared" si="0"/>
        <v>0</v>
      </c>
      <c r="R16" s="33">
        <f>CDBG!H16</f>
        <v>0</v>
      </c>
      <c r="S16" s="46">
        <v>18530.7</v>
      </c>
      <c r="T16" s="20"/>
      <c r="U16" s="17">
        <f t="shared" ref="U16:U21" si="7">S16+T16</f>
        <v>18530.7</v>
      </c>
      <c r="V16" s="46">
        <v>7230.77</v>
      </c>
      <c r="W16" s="46"/>
      <c r="X16" s="6">
        <f t="shared" ref="X16:X21" si="8">V16+W16</f>
        <v>7230.77</v>
      </c>
      <c r="Y16" s="6">
        <f>'OEO-Weatherization'!H16</f>
        <v>29.42</v>
      </c>
      <c r="Z16" s="6">
        <f>'OEO-Other'!Y16</f>
        <v>59539.05</v>
      </c>
      <c r="AA16" s="6">
        <f>'Transportation Fund'!Y16</f>
        <v>108763.73</v>
      </c>
      <c r="AB16" s="6">
        <f>'Special Purpose '!E16</f>
        <v>0</v>
      </c>
      <c r="AD16" s="20"/>
      <c r="AE16" s="20"/>
      <c r="AF16" s="20"/>
      <c r="AG16" s="6">
        <f t="shared" ref="AG16:AG21" si="9">AE16+AF16</f>
        <v>0</v>
      </c>
      <c r="AH16" s="6">
        <f>'911'!H16</f>
        <v>195181.88</v>
      </c>
      <c r="AI16" s="26">
        <f t="shared" ref="AI16:AI21" si="10">B16+C16+D16+E16+F16+G16+K16+L16+M16+N16+Q16+R16+U16+X16+Y16+Z16+AA16+AB16+AD16+AG16+AH16</f>
        <v>626634.68999999994</v>
      </c>
    </row>
    <row r="17" spans="1:35" x14ac:dyDescent="0.25">
      <c r="A17" s="4" t="s">
        <v>10</v>
      </c>
      <c r="B17" s="20"/>
      <c r="C17" s="20"/>
      <c r="D17" s="17">
        <f>'Airport Funds'!I17</f>
        <v>0</v>
      </c>
      <c r="E17" s="20"/>
      <c r="F17" s="20"/>
      <c r="G17" s="20"/>
      <c r="I17" s="20"/>
      <c r="J17" s="20"/>
      <c r="K17" s="19">
        <f t="shared" si="6"/>
        <v>0</v>
      </c>
      <c r="L17" s="20"/>
      <c r="M17" s="20"/>
      <c r="N17" s="20"/>
      <c r="O17" s="20"/>
      <c r="P17" s="20"/>
      <c r="Q17" s="16">
        <f t="shared" si="0"/>
        <v>0</v>
      </c>
      <c r="R17" s="33">
        <f>CDBG!H17</f>
        <v>0</v>
      </c>
      <c r="S17" s="46">
        <v>5468.34</v>
      </c>
      <c r="T17" s="20"/>
      <c r="U17" s="6">
        <f t="shared" si="7"/>
        <v>5468.34</v>
      </c>
      <c r="V17" s="46">
        <v>714.14</v>
      </c>
      <c r="W17" s="20"/>
      <c r="X17" s="6">
        <f t="shared" si="8"/>
        <v>714.14</v>
      </c>
      <c r="Y17" s="6">
        <f>'OEO-Weatherization'!H17</f>
        <v>157.06</v>
      </c>
      <c r="Z17" s="6">
        <f>'OEO-Other'!Y17</f>
        <v>15227.76</v>
      </c>
      <c r="AA17" s="6">
        <f>'Transportation Fund'!Y17</f>
        <v>1340.79</v>
      </c>
      <c r="AB17" s="6">
        <f>'Special Purpose '!E17</f>
        <v>0</v>
      </c>
      <c r="AD17" s="20"/>
      <c r="AE17" s="20"/>
      <c r="AF17" s="20"/>
      <c r="AG17" s="6">
        <f t="shared" si="9"/>
        <v>0</v>
      </c>
      <c r="AH17" s="6">
        <f>'911'!H17</f>
        <v>21213.919999999998</v>
      </c>
      <c r="AI17" s="26">
        <f t="shared" si="10"/>
        <v>44122.01</v>
      </c>
    </row>
    <row r="18" spans="1:35" x14ac:dyDescent="0.25">
      <c r="A18" s="4" t="s">
        <v>297</v>
      </c>
      <c r="B18" s="20"/>
      <c r="C18" s="20"/>
      <c r="D18" s="17">
        <f>'Airport Funds'!I18</f>
        <v>0</v>
      </c>
      <c r="E18" s="20"/>
      <c r="F18" s="20"/>
      <c r="G18" s="20"/>
      <c r="I18" s="20"/>
      <c r="J18" s="20"/>
      <c r="K18" s="19">
        <f t="shared" si="6"/>
        <v>0</v>
      </c>
      <c r="L18" s="20"/>
      <c r="M18" s="20"/>
      <c r="N18" s="20"/>
      <c r="O18" s="20"/>
      <c r="P18" s="20"/>
      <c r="Q18" s="16">
        <f t="shared" si="0"/>
        <v>0</v>
      </c>
      <c r="R18" s="33">
        <f>CDBG!H18</f>
        <v>0</v>
      </c>
      <c r="S18" s="46"/>
      <c r="T18" s="20"/>
      <c r="U18" s="6">
        <f t="shared" si="7"/>
        <v>0</v>
      </c>
      <c r="V18" s="46"/>
      <c r="W18" s="20"/>
      <c r="X18" s="6">
        <f t="shared" si="8"/>
        <v>0</v>
      </c>
      <c r="Y18" s="6">
        <f>'OEO-Weatherization'!H18</f>
        <v>0</v>
      </c>
      <c r="Z18" s="6">
        <f>'OEO-Other'!Y18</f>
        <v>0</v>
      </c>
      <c r="AA18" s="6">
        <f>'Transportation Fund'!Y18</f>
        <v>0</v>
      </c>
      <c r="AB18" s="6">
        <f>'Special Purpose '!E18</f>
        <v>0</v>
      </c>
      <c r="AD18" s="20"/>
      <c r="AE18" s="20"/>
      <c r="AF18" s="20"/>
      <c r="AG18" s="6">
        <f t="shared" si="9"/>
        <v>0</v>
      </c>
      <c r="AH18" s="6">
        <f>'911'!H18</f>
        <v>0</v>
      </c>
      <c r="AI18" s="26">
        <f t="shared" si="10"/>
        <v>0</v>
      </c>
    </row>
    <row r="19" spans="1:35" x14ac:dyDescent="0.25">
      <c r="A19" s="4" t="s">
        <v>11</v>
      </c>
      <c r="B19" s="20"/>
      <c r="C19" s="20"/>
      <c r="D19" s="17">
        <f>'Airport Funds'!I18</f>
        <v>0</v>
      </c>
      <c r="E19" s="20"/>
      <c r="F19" s="20"/>
      <c r="G19" s="20"/>
      <c r="I19" s="20"/>
      <c r="J19" s="20"/>
      <c r="K19" s="19">
        <f t="shared" si="6"/>
        <v>0</v>
      </c>
      <c r="L19" s="20"/>
      <c r="M19" s="20"/>
      <c r="N19" s="20"/>
      <c r="O19" s="20"/>
      <c r="P19" s="20"/>
      <c r="Q19" s="16">
        <f t="shared" si="0"/>
        <v>0</v>
      </c>
      <c r="R19" s="33">
        <v>0</v>
      </c>
      <c r="S19" s="46"/>
      <c r="T19" s="20"/>
      <c r="U19" s="6">
        <f t="shared" si="7"/>
        <v>0</v>
      </c>
      <c r="V19" s="46"/>
      <c r="W19" s="20"/>
      <c r="X19" s="6">
        <f t="shared" si="8"/>
        <v>0</v>
      </c>
      <c r="Y19" s="6">
        <v>0</v>
      </c>
      <c r="Z19" s="6">
        <v>0</v>
      </c>
      <c r="AA19" s="6">
        <v>0</v>
      </c>
      <c r="AB19" s="6">
        <f>'Special Purpose '!E18</f>
        <v>0</v>
      </c>
      <c r="AD19" s="20"/>
      <c r="AE19" s="20"/>
      <c r="AF19" s="20"/>
      <c r="AG19" s="6">
        <f t="shared" si="9"/>
        <v>0</v>
      </c>
      <c r="AH19" s="6">
        <f>'911'!H18</f>
        <v>0</v>
      </c>
      <c r="AI19" s="26">
        <f t="shared" si="10"/>
        <v>0</v>
      </c>
    </row>
    <row r="20" spans="1:35" x14ac:dyDescent="0.25">
      <c r="A20" s="4" t="s">
        <v>12</v>
      </c>
      <c r="B20" s="20"/>
      <c r="C20" s="20"/>
      <c r="D20" s="17">
        <f>'Airport Funds'!I19</f>
        <v>0</v>
      </c>
      <c r="E20" s="20"/>
      <c r="F20" s="20"/>
      <c r="G20" s="20"/>
      <c r="I20" s="20"/>
      <c r="J20" s="20"/>
      <c r="K20" s="19">
        <f t="shared" si="6"/>
        <v>0</v>
      </c>
      <c r="L20" s="20"/>
      <c r="M20" s="20"/>
      <c r="N20" s="20"/>
      <c r="O20" s="20"/>
      <c r="P20" s="20"/>
      <c r="Q20" s="16">
        <f t="shared" si="0"/>
        <v>0</v>
      </c>
      <c r="R20" s="33">
        <f>CDBG!H19</f>
        <v>0</v>
      </c>
      <c r="S20" s="46">
        <v>38585</v>
      </c>
      <c r="T20" s="20"/>
      <c r="U20" s="17">
        <f t="shared" si="7"/>
        <v>38585</v>
      </c>
      <c r="V20" s="46">
        <v>1023.39</v>
      </c>
      <c r="W20" s="20">
        <v>81</v>
      </c>
      <c r="X20" s="6">
        <f t="shared" si="8"/>
        <v>1104.3899999999999</v>
      </c>
      <c r="Y20" s="6">
        <f>'OEO-Weatherization'!H19</f>
        <v>35555.629999999997</v>
      </c>
      <c r="Z20" s="6">
        <f>'OEO-Other'!Y19</f>
        <v>668162.94000000006</v>
      </c>
      <c r="AA20" s="6">
        <f>'Transportation Fund'!Y20</f>
        <v>0</v>
      </c>
      <c r="AB20" s="6">
        <f>'Special Purpose '!E19</f>
        <v>0</v>
      </c>
      <c r="AD20" s="20"/>
      <c r="AE20" s="20"/>
      <c r="AF20" s="20"/>
      <c r="AG20" s="6">
        <f t="shared" si="9"/>
        <v>0</v>
      </c>
      <c r="AH20" s="6">
        <f>'911'!H19</f>
        <v>632466.88</v>
      </c>
      <c r="AI20" s="26">
        <f t="shared" si="10"/>
        <v>1375874.84</v>
      </c>
    </row>
    <row r="21" spans="1:35" x14ac:dyDescent="0.25">
      <c r="A21" s="2" t="s">
        <v>13</v>
      </c>
      <c r="B21" s="6">
        <f>SUM(B16:B20)</f>
        <v>5812.5</v>
      </c>
      <c r="C21" s="6">
        <f>SUM(C16:C20)</f>
        <v>0</v>
      </c>
      <c r="D21" s="17">
        <f>'Airport Funds'!I20</f>
        <v>229723.3</v>
      </c>
      <c r="E21" s="17">
        <f>SUM(E16:E20)</f>
        <v>0</v>
      </c>
      <c r="F21" s="17">
        <f>SUM(F16:F20)</f>
        <v>0</v>
      </c>
      <c r="G21" s="17">
        <f>SUM(G16:G20)</f>
        <v>0</v>
      </c>
      <c r="I21" s="17">
        <f>SUM(I16:I20)</f>
        <v>1076.23</v>
      </c>
      <c r="J21" s="17">
        <f>SUM(J16:J20)</f>
        <v>0</v>
      </c>
      <c r="K21" s="19">
        <f t="shared" si="6"/>
        <v>1076.23</v>
      </c>
      <c r="L21" s="17">
        <f>SUM(L16:L20)</f>
        <v>40.04</v>
      </c>
      <c r="M21" s="6">
        <f>SUM(M16:M20)</f>
        <v>0</v>
      </c>
      <c r="N21" s="6">
        <f>SUM(N16:N20)</f>
        <v>707.07</v>
      </c>
      <c r="O21" s="6">
        <f>SUM(O16:O20)</f>
        <v>0</v>
      </c>
      <c r="P21" s="6">
        <f>SUM(P16:P20)</f>
        <v>0</v>
      </c>
      <c r="Q21" s="16">
        <f t="shared" si="0"/>
        <v>0</v>
      </c>
      <c r="R21" s="6">
        <f>SUM(R16:R20)</f>
        <v>0</v>
      </c>
      <c r="S21" s="43">
        <f>SUM(S16:S20)</f>
        <v>62584.04</v>
      </c>
      <c r="T21" s="6">
        <f>SUM(T16:T20)</f>
        <v>0</v>
      </c>
      <c r="U21" s="6">
        <f t="shared" si="7"/>
        <v>62584.04</v>
      </c>
      <c r="V21" s="43">
        <f>SUM(V16:V20)</f>
        <v>8968.3000000000011</v>
      </c>
      <c r="W21" s="6">
        <f>SUM(W16:W20)</f>
        <v>81</v>
      </c>
      <c r="X21" s="6">
        <f t="shared" si="8"/>
        <v>9049.3000000000011</v>
      </c>
      <c r="Y21" s="6">
        <f>'OEO-Weatherization'!H20</f>
        <v>35742.11</v>
      </c>
      <c r="Z21" s="6">
        <f>'OEO-Other'!Y20</f>
        <v>742929.75</v>
      </c>
      <c r="AA21" s="6">
        <f>'Transportation Fund'!Y21</f>
        <v>110104.51999999999</v>
      </c>
      <c r="AB21" s="6">
        <f>'Special Purpose '!E20</f>
        <v>0</v>
      </c>
      <c r="AD21" s="6">
        <f>SUM(AD16:AD20)</f>
        <v>0</v>
      </c>
      <c r="AE21" s="6">
        <f>SUM(AE16:AE20)</f>
        <v>0</v>
      </c>
      <c r="AF21" s="6">
        <f>SUM(AF16:AF20)</f>
        <v>0</v>
      </c>
      <c r="AG21" s="6">
        <f t="shared" si="9"/>
        <v>0</v>
      </c>
      <c r="AH21" s="6">
        <f>'911'!H20</f>
        <v>848862.67999999993</v>
      </c>
      <c r="AI21" s="26">
        <f t="shared" si="10"/>
        <v>2046631.5399999998</v>
      </c>
    </row>
    <row r="22" spans="1:35" x14ac:dyDescent="0.25">
      <c r="K22" s="19">
        <f t="shared" si="6"/>
        <v>0</v>
      </c>
      <c r="Q22" s="16">
        <f t="shared" si="0"/>
        <v>0</v>
      </c>
      <c r="R22" s="6"/>
      <c r="T22" s="6"/>
      <c r="U22" s="6"/>
      <c r="W22" s="6"/>
      <c r="X22" s="6"/>
      <c r="Y22" s="6"/>
      <c r="Z22" s="6"/>
      <c r="AA22" s="6"/>
      <c r="AB22" s="6"/>
      <c r="AD22" s="6"/>
      <c r="AE22" s="6"/>
      <c r="AF22" s="6"/>
      <c r="AG22" s="6"/>
      <c r="AI22" s="26"/>
    </row>
    <row r="23" spans="1:35" x14ac:dyDescent="0.25">
      <c r="A23" s="3" t="s">
        <v>14</v>
      </c>
      <c r="K23" s="19">
        <f t="shared" si="6"/>
        <v>0</v>
      </c>
      <c r="Q23" s="16">
        <f t="shared" si="0"/>
        <v>0</v>
      </c>
      <c r="R23" s="6"/>
      <c r="T23" s="6"/>
      <c r="U23" s="6"/>
      <c r="W23" s="6"/>
      <c r="X23" s="6"/>
      <c r="Y23" s="6"/>
      <c r="Z23" s="6"/>
      <c r="AA23" s="6"/>
      <c r="AB23" s="6"/>
      <c r="AD23" s="6"/>
      <c r="AE23" s="6"/>
      <c r="AF23" s="6"/>
      <c r="AG23" s="6"/>
      <c r="AI23" s="26"/>
    </row>
    <row r="24" spans="1:35" x14ac:dyDescent="0.25">
      <c r="A24" s="78" t="s">
        <v>370</v>
      </c>
      <c r="B24" s="75"/>
      <c r="C24" s="75"/>
      <c r="E24" s="75"/>
      <c r="F24" s="75"/>
      <c r="G24" s="75"/>
      <c r="I24" s="75"/>
      <c r="J24" s="75"/>
      <c r="K24" s="19">
        <f t="shared" si="6"/>
        <v>0</v>
      </c>
      <c r="L24" s="75"/>
      <c r="M24" s="75"/>
      <c r="N24" s="75"/>
      <c r="O24" s="75"/>
      <c r="P24" s="75"/>
      <c r="Q24" s="16">
        <f t="shared" si="0"/>
        <v>0</v>
      </c>
      <c r="R24" s="33">
        <f>CDBG!H23</f>
        <v>0</v>
      </c>
      <c r="S24" s="73"/>
      <c r="T24" s="75"/>
      <c r="U24" s="6"/>
      <c r="V24" s="73"/>
      <c r="W24" s="75"/>
      <c r="X24" s="6"/>
      <c r="Y24" s="6"/>
      <c r="Z24" s="6"/>
      <c r="AA24" s="6"/>
      <c r="AB24" s="6"/>
      <c r="AD24" s="75"/>
      <c r="AE24" s="75"/>
      <c r="AF24" s="75"/>
      <c r="AG24" s="6"/>
      <c r="AI24" s="26"/>
    </row>
    <row r="25" spans="1:35" x14ac:dyDescent="0.25">
      <c r="A25" s="77" t="s">
        <v>332</v>
      </c>
      <c r="B25" s="75"/>
      <c r="C25" s="75"/>
      <c r="D25" s="17">
        <f>'Airport Funds'!I24</f>
        <v>0</v>
      </c>
      <c r="E25" s="75"/>
      <c r="F25" s="75"/>
      <c r="G25" s="75"/>
      <c r="I25" s="75"/>
      <c r="J25" s="75"/>
      <c r="K25" s="19">
        <f t="shared" si="6"/>
        <v>0</v>
      </c>
      <c r="L25" s="75"/>
      <c r="M25" s="75"/>
      <c r="N25" s="75"/>
      <c r="O25" s="75"/>
      <c r="P25" s="75"/>
      <c r="Q25" s="16">
        <f t="shared" si="0"/>
        <v>0</v>
      </c>
      <c r="R25" s="33"/>
      <c r="S25" s="73"/>
      <c r="T25" s="75"/>
      <c r="U25" s="6"/>
      <c r="V25" s="73"/>
      <c r="W25" s="75"/>
      <c r="X25" s="6">
        <f t="shared" ref="X25:X45" si="11">V25+W25</f>
        <v>0</v>
      </c>
      <c r="Y25" s="6">
        <f>'OEO-Weatherization'!H24</f>
        <v>0</v>
      </c>
      <c r="Z25" s="6">
        <f>'OEO-Other'!Y24</f>
        <v>0</v>
      </c>
      <c r="AA25" s="6">
        <f>'Transportation Fund'!Y25</f>
        <v>0</v>
      </c>
      <c r="AB25" s="6">
        <f>'Special Purpose '!E24</f>
        <v>0</v>
      </c>
      <c r="AD25" s="75"/>
      <c r="AE25" s="75"/>
      <c r="AF25" s="75"/>
      <c r="AG25" s="6">
        <f t="shared" ref="AG25:AG44" si="12">AE25+AF25</f>
        <v>0</v>
      </c>
      <c r="AH25" s="6">
        <f>'911'!H24</f>
        <v>0</v>
      </c>
      <c r="AI25" s="26">
        <f>B25+C25+D25+E25+F25+G25+K25+L25+M25+N25+Q25+R25+U25+X25+Y25+Z25+AA25+AB25+AD25+AG25+AH25</f>
        <v>0</v>
      </c>
    </row>
    <row r="26" spans="1:35" x14ac:dyDescent="0.25">
      <c r="A26" s="77" t="s">
        <v>31</v>
      </c>
      <c r="B26" s="75"/>
      <c r="C26" s="75"/>
      <c r="D26" s="17">
        <f>'Airport Funds'!I25</f>
        <v>0</v>
      </c>
      <c r="E26" s="75"/>
      <c r="F26" s="75"/>
      <c r="G26" s="75"/>
      <c r="I26" s="75"/>
      <c r="J26" s="75"/>
      <c r="K26" s="19">
        <f t="shared" si="6"/>
        <v>0</v>
      </c>
      <c r="L26" s="75"/>
      <c r="M26" s="75"/>
      <c r="N26" s="75"/>
      <c r="O26" s="75"/>
      <c r="P26" s="75"/>
      <c r="Q26" s="16">
        <f t="shared" si="0"/>
        <v>0</v>
      </c>
      <c r="R26" s="33"/>
      <c r="S26" s="73"/>
      <c r="T26" s="75"/>
      <c r="U26" s="6"/>
      <c r="V26" s="73"/>
      <c r="W26" s="75"/>
      <c r="X26" s="6">
        <f t="shared" si="11"/>
        <v>0</v>
      </c>
      <c r="Y26" s="6">
        <f>'OEO-Weatherization'!H25</f>
        <v>0</v>
      </c>
      <c r="Z26" s="6">
        <f>'OEO-Other'!Y25</f>
        <v>0</v>
      </c>
      <c r="AA26" s="6">
        <f>'Transportation Fund'!Y26</f>
        <v>0</v>
      </c>
      <c r="AB26" s="6">
        <f>'Special Purpose '!E25</f>
        <v>40213.879999999997</v>
      </c>
      <c r="AD26" s="75"/>
      <c r="AE26" s="75"/>
      <c r="AF26" s="75"/>
      <c r="AG26" s="6">
        <f t="shared" si="12"/>
        <v>0</v>
      </c>
      <c r="AH26" s="6">
        <f>'911'!H25</f>
        <v>0</v>
      </c>
      <c r="AI26" s="26">
        <f t="shared" ref="AI26:AI46" si="13">B26+C26+D26+E26+F26+G26+K26+L26+M26+N26+Q26+R26+U26+X26+Y26+Z26+AA26+AB26+AD26+AG26+AH26</f>
        <v>40213.879999999997</v>
      </c>
    </row>
    <row r="27" spans="1:35" x14ac:dyDescent="0.25">
      <c r="A27" s="77" t="s">
        <v>361</v>
      </c>
      <c r="B27" s="20">
        <v>1390654.04</v>
      </c>
      <c r="C27" s="75"/>
      <c r="D27" s="17">
        <f>'Airport Funds'!I26</f>
        <v>0</v>
      </c>
      <c r="E27" s="75"/>
      <c r="F27" s="75"/>
      <c r="G27" s="75"/>
      <c r="I27" s="75"/>
      <c r="J27" s="75"/>
      <c r="K27" s="19">
        <f t="shared" si="6"/>
        <v>0</v>
      </c>
      <c r="L27" s="75"/>
      <c r="M27" s="75"/>
      <c r="N27" s="75"/>
      <c r="O27" s="75"/>
      <c r="P27" s="75"/>
      <c r="Q27" s="16">
        <f t="shared" si="0"/>
        <v>0</v>
      </c>
      <c r="R27" s="33"/>
      <c r="S27" s="73"/>
      <c r="T27" s="75"/>
      <c r="U27" s="6"/>
      <c r="V27" s="73"/>
      <c r="W27" s="75"/>
      <c r="X27" s="6">
        <f t="shared" si="11"/>
        <v>0</v>
      </c>
      <c r="Y27" s="6">
        <f>'OEO-Weatherization'!H26</f>
        <v>0</v>
      </c>
      <c r="Z27" s="6">
        <f>'OEO-Other'!Y26</f>
        <v>0</v>
      </c>
      <c r="AA27" s="6">
        <f>'Transportation Fund'!Y27</f>
        <v>0</v>
      </c>
      <c r="AB27" s="6">
        <f>'Special Purpose '!E26</f>
        <v>0</v>
      </c>
      <c r="AD27" s="75"/>
      <c r="AE27" s="75"/>
      <c r="AF27" s="75"/>
      <c r="AG27" s="6">
        <f t="shared" si="12"/>
        <v>0</v>
      </c>
      <c r="AH27" s="6">
        <f>'911'!H26</f>
        <v>0</v>
      </c>
      <c r="AI27" s="26">
        <f t="shared" si="13"/>
        <v>1390654.04</v>
      </c>
    </row>
    <row r="28" spans="1:35" x14ac:dyDescent="0.25">
      <c r="A28" s="77" t="s">
        <v>334</v>
      </c>
      <c r="B28" s="75"/>
      <c r="C28" s="20">
        <v>24635.57</v>
      </c>
      <c r="D28" s="17">
        <f>'Airport Funds'!I27</f>
        <v>0</v>
      </c>
      <c r="E28" s="75"/>
      <c r="F28" s="75"/>
      <c r="G28" s="75"/>
      <c r="I28" s="75"/>
      <c r="J28" s="75"/>
      <c r="K28" s="19">
        <f t="shared" si="6"/>
        <v>0</v>
      </c>
      <c r="L28" s="75"/>
      <c r="M28" s="75"/>
      <c r="N28" s="75"/>
      <c r="O28" s="75"/>
      <c r="P28" s="75"/>
      <c r="Q28" s="16">
        <f t="shared" si="0"/>
        <v>0</v>
      </c>
      <c r="R28" s="33"/>
      <c r="S28" s="73"/>
      <c r="T28" s="75"/>
      <c r="U28" s="6"/>
      <c r="V28" s="73"/>
      <c r="W28" s="75"/>
      <c r="X28" s="6">
        <f t="shared" si="11"/>
        <v>0</v>
      </c>
      <c r="Y28" s="6">
        <f>'OEO-Weatherization'!H27</f>
        <v>0</v>
      </c>
      <c r="Z28" s="6">
        <f>'OEO-Other'!Y27</f>
        <v>0</v>
      </c>
      <c r="AA28" s="6">
        <f>'Transportation Fund'!Y28</f>
        <v>0</v>
      </c>
      <c r="AB28" s="6">
        <f>'Special Purpose '!E27</f>
        <v>0</v>
      </c>
      <c r="AD28" s="75"/>
      <c r="AE28" s="75"/>
      <c r="AF28" s="75"/>
      <c r="AG28" s="6">
        <f t="shared" si="12"/>
        <v>0</v>
      </c>
      <c r="AH28" s="6">
        <f>'911'!H27</f>
        <v>0</v>
      </c>
      <c r="AI28" s="26">
        <f t="shared" si="13"/>
        <v>24635.57</v>
      </c>
    </row>
    <row r="29" spans="1:35" x14ac:dyDescent="0.25">
      <c r="A29" s="77" t="s">
        <v>502</v>
      </c>
      <c r="B29" s="75"/>
      <c r="C29" s="75"/>
      <c r="E29" s="20">
        <v>86115.23</v>
      </c>
      <c r="F29" s="75"/>
      <c r="G29" s="75"/>
      <c r="I29" s="75"/>
      <c r="J29" s="75"/>
      <c r="K29" s="19"/>
      <c r="L29" s="75"/>
      <c r="M29" s="75"/>
      <c r="N29" s="75"/>
      <c r="O29" s="75"/>
      <c r="P29" s="75"/>
      <c r="Q29" s="16"/>
      <c r="R29" s="33"/>
      <c r="S29" s="73"/>
      <c r="T29" s="75"/>
      <c r="U29" s="6"/>
      <c r="V29" s="73"/>
      <c r="W29" s="75"/>
      <c r="X29" s="6"/>
      <c r="Y29" s="6"/>
      <c r="Z29" s="6"/>
      <c r="AA29" s="6"/>
      <c r="AB29" s="6"/>
      <c r="AD29" s="75"/>
      <c r="AE29" s="75"/>
      <c r="AF29" s="75"/>
      <c r="AG29" s="6"/>
      <c r="AI29" s="26">
        <f t="shared" si="13"/>
        <v>86115.23</v>
      </c>
    </row>
    <row r="30" spans="1:35" x14ac:dyDescent="0.25">
      <c r="A30" s="77">
        <v>911</v>
      </c>
      <c r="B30" s="75"/>
      <c r="C30" s="75"/>
      <c r="E30" s="75"/>
      <c r="F30" s="75"/>
      <c r="G30" s="75"/>
      <c r="I30" s="75"/>
      <c r="J30" s="75"/>
      <c r="K30" s="19"/>
      <c r="L30" s="75"/>
      <c r="M30" s="75"/>
      <c r="N30" s="75"/>
      <c r="O30" s="75"/>
      <c r="P30" s="75"/>
      <c r="Q30" s="16"/>
      <c r="R30" s="33"/>
      <c r="S30" s="73"/>
      <c r="T30" s="75"/>
      <c r="U30" s="6"/>
      <c r="V30" s="73"/>
      <c r="W30" s="75"/>
      <c r="X30" s="6"/>
      <c r="Y30" s="6"/>
      <c r="Z30" s="6"/>
      <c r="AA30" s="6"/>
      <c r="AB30" s="6"/>
      <c r="AD30" s="75"/>
      <c r="AE30" s="75"/>
      <c r="AF30" s="75"/>
      <c r="AG30" s="6"/>
      <c r="AH30" s="6">
        <f>'911'!H40</f>
        <v>88647.51</v>
      </c>
      <c r="AI30" s="26">
        <f t="shared" si="13"/>
        <v>88647.51</v>
      </c>
    </row>
    <row r="31" spans="1:35" x14ac:dyDescent="0.25">
      <c r="A31" s="77" t="s">
        <v>335</v>
      </c>
      <c r="B31" s="75"/>
      <c r="C31" s="75"/>
      <c r="D31" s="17">
        <f>'Airport Funds'!I28</f>
        <v>0</v>
      </c>
      <c r="E31" s="75"/>
      <c r="F31" s="20">
        <v>339366.45</v>
      </c>
      <c r="G31" s="75"/>
      <c r="I31" s="75"/>
      <c r="J31" s="75"/>
      <c r="K31" s="19">
        <f t="shared" si="6"/>
        <v>0</v>
      </c>
      <c r="L31" s="75"/>
      <c r="M31" s="75"/>
      <c r="N31" s="75"/>
      <c r="O31" s="75"/>
      <c r="P31" s="75"/>
      <c r="Q31" s="16">
        <f t="shared" si="0"/>
        <v>0</v>
      </c>
      <c r="R31" s="33"/>
      <c r="S31" s="73"/>
      <c r="T31" s="75"/>
      <c r="U31" s="6"/>
      <c r="V31" s="73"/>
      <c r="W31" s="75"/>
      <c r="X31" s="6">
        <f t="shared" si="11"/>
        <v>0</v>
      </c>
      <c r="Y31" s="6">
        <f>'OEO-Weatherization'!H28</f>
        <v>0</v>
      </c>
      <c r="Z31" s="6">
        <f>'OEO-Other'!Y28</f>
        <v>0</v>
      </c>
      <c r="AA31" s="6">
        <f>'Transportation Fund'!Y29</f>
        <v>0</v>
      </c>
      <c r="AB31" s="6">
        <f>'Special Purpose '!E28</f>
        <v>0</v>
      </c>
      <c r="AD31" s="75"/>
      <c r="AE31" s="75"/>
      <c r="AF31" s="75"/>
      <c r="AG31" s="6">
        <f t="shared" si="12"/>
        <v>0</v>
      </c>
      <c r="AH31" s="6">
        <f>'911'!H28</f>
        <v>0</v>
      </c>
      <c r="AI31" s="26">
        <f t="shared" si="13"/>
        <v>339366.45</v>
      </c>
    </row>
    <row r="32" spans="1:35" x14ac:dyDescent="0.25">
      <c r="A32" s="77" t="s">
        <v>336</v>
      </c>
      <c r="B32" s="75"/>
      <c r="C32" s="75"/>
      <c r="D32" s="17">
        <f>'Airport Funds'!I29</f>
        <v>0</v>
      </c>
      <c r="E32" s="75"/>
      <c r="F32" s="75"/>
      <c r="G32" s="75"/>
      <c r="I32" s="20">
        <v>311308.31</v>
      </c>
      <c r="J32" s="20"/>
      <c r="K32" s="19">
        <f t="shared" si="6"/>
        <v>311308.31</v>
      </c>
      <c r="L32" s="75"/>
      <c r="M32" s="75"/>
      <c r="N32" s="75"/>
      <c r="O32" s="75"/>
      <c r="P32" s="75"/>
      <c r="Q32" s="16">
        <f t="shared" si="0"/>
        <v>0</v>
      </c>
      <c r="R32" s="33"/>
      <c r="S32" s="73"/>
      <c r="T32" s="75"/>
      <c r="U32" s="6"/>
      <c r="V32" s="73"/>
      <c r="W32" s="75"/>
      <c r="X32" s="6">
        <f t="shared" si="11"/>
        <v>0</v>
      </c>
      <c r="Y32" s="6">
        <f>'OEO-Weatherization'!H29</f>
        <v>0</v>
      </c>
      <c r="Z32" s="6">
        <f>'OEO-Other'!Y29</f>
        <v>0</v>
      </c>
      <c r="AA32" s="6">
        <f>'Transportation Fund'!Y30</f>
        <v>0</v>
      </c>
      <c r="AB32" s="6">
        <f>'Special Purpose '!E29</f>
        <v>0</v>
      </c>
      <c r="AD32" s="75"/>
      <c r="AE32" s="75"/>
      <c r="AF32" s="75"/>
      <c r="AG32" s="6">
        <f t="shared" si="12"/>
        <v>0</v>
      </c>
      <c r="AH32" s="6">
        <f>'911'!H29</f>
        <v>0</v>
      </c>
      <c r="AI32" s="26">
        <f t="shared" si="13"/>
        <v>311308.31</v>
      </c>
    </row>
    <row r="33" spans="1:35" x14ac:dyDescent="0.25">
      <c r="A33" s="77" t="s">
        <v>337</v>
      </c>
      <c r="B33" s="75"/>
      <c r="C33" s="75"/>
      <c r="D33" s="17">
        <f>'Airport Funds'!I30</f>
        <v>0</v>
      </c>
      <c r="E33" s="75"/>
      <c r="F33" s="75"/>
      <c r="G33" s="75"/>
      <c r="I33" s="75"/>
      <c r="J33" s="75"/>
      <c r="K33" s="19">
        <f t="shared" si="6"/>
        <v>0</v>
      </c>
      <c r="L33" s="20">
        <v>485843.37</v>
      </c>
      <c r="M33" s="75"/>
      <c r="N33" s="75"/>
      <c r="O33" s="75"/>
      <c r="P33" s="75"/>
      <c r="Q33" s="16">
        <f t="shared" si="0"/>
        <v>0</v>
      </c>
      <c r="R33" s="33"/>
      <c r="S33" s="73"/>
      <c r="T33" s="75"/>
      <c r="U33" s="6"/>
      <c r="V33" s="73"/>
      <c r="W33" s="75"/>
      <c r="X33" s="6">
        <f t="shared" si="11"/>
        <v>0</v>
      </c>
      <c r="Y33" s="6">
        <f>'OEO-Weatherization'!H30</f>
        <v>0</v>
      </c>
      <c r="Z33" s="6">
        <f>'OEO-Other'!Y30</f>
        <v>0</v>
      </c>
      <c r="AA33" s="6">
        <f>'Transportation Fund'!Y31</f>
        <v>0</v>
      </c>
      <c r="AB33" s="6">
        <f>'Special Purpose '!E30</f>
        <v>0</v>
      </c>
      <c r="AD33" s="75"/>
      <c r="AE33" s="75"/>
      <c r="AF33" s="75"/>
      <c r="AG33" s="6">
        <f t="shared" si="12"/>
        <v>0</v>
      </c>
      <c r="AH33" s="6">
        <f>'911'!H30</f>
        <v>0</v>
      </c>
      <c r="AI33" s="26">
        <f t="shared" si="13"/>
        <v>485843.37</v>
      </c>
    </row>
    <row r="34" spans="1:35" x14ac:dyDescent="0.25">
      <c r="A34" s="77" t="s">
        <v>503</v>
      </c>
      <c r="B34" s="75"/>
      <c r="C34" s="75"/>
      <c r="E34" s="75"/>
      <c r="F34" s="75"/>
      <c r="G34" s="75"/>
      <c r="I34" s="75"/>
      <c r="J34" s="75"/>
      <c r="K34" s="19"/>
      <c r="L34" s="75"/>
      <c r="M34" s="20">
        <v>9321.9599999999991</v>
      </c>
      <c r="N34" s="75"/>
      <c r="O34" s="75"/>
      <c r="P34" s="75"/>
      <c r="Q34" s="16"/>
      <c r="R34" s="33"/>
      <c r="S34" s="73"/>
      <c r="T34" s="75"/>
      <c r="U34" s="6"/>
      <c r="V34" s="73"/>
      <c r="W34" s="75"/>
      <c r="X34" s="6"/>
      <c r="Y34" s="6"/>
      <c r="Z34" s="6"/>
      <c r="AA34" s="6"/>
      <c r="AB34" s="6"/>
      <c r="AD34" s="75"/>
      <c r="AE34" s="75"/>
      <c r="AF34" s="75"/>
      <c r="AG34" s="6"/>
      <c r="AI34" s="26">
        <f t="shared" si="13"/>
        <v>9321.9599999999991</v>
      </c>
    </row>
    <row r="35" spans="1:35" x14ac:dyDescent="0.25">
      <c r="A35" s="77" t="s">
        <v>362</v>
      </c>
      <c r="B35" s="75"/>
      <c r="C35" s="75"/>
      <c r="D35" s="17">
        <f>'Airport Funds'!I31</f>
        <v>0</v>
      </c>
      <c r="E35" s="75"/>
      <c r="F35" s="75"/>
      <c r="G35" s="75"/>
      <c r="I35" s="75"/>
      <c r="J35" s="75"/>
      <c r="K35" s="19">
        <f t="shared" si="6"/>
        <v>0</v>
      </c>
      <c r="L35" s="75"/>
      <c r="M35" s="75"/>
      <c r="N35" s="20">
        <v>34881.449999999997</v>
      </c>
      <c r="O35" s="20">
        <v>18442.599999999999</v>
      </c>
      <c r="P35" s="20"/>
      <c r="Q35" s="16">
        <f t="shared" si="0"/>
        <v>18442.599999999999</v>
      </c>
      <c r="R35" s="33"/>
      <c r="S35" s="73"/>
      <c r="T35" s="75"/>
      <c r="U35" s="6"/>
      <c r="V35" s="73"/>
      <c r="W35" s="75"/>
      <c r="X35" s="6">
        <f t="shared" si="11"/>
        <v>0</v>
      </c>
      <c r="Y35" s="6">
        <f>'OEO-Weatherization'!H31</f>
        <v>0</v>
      </c>
      <c r="Z35" s="6">
        <f>'OEO-Other'!Y31</f>
        <v>0</v>
      </c>
      <c r="AA35" s="6">
        <f>'Transportation Fund'!Y32</f>
        <v>0</v>
      </c>
      <c r="AB35" s="6">
        <f>'Special Purpose '!E31</f>
        <v>0</v>
      </c>
      <c r="AD35" s="75"/>
      <c r="AE35" s="75"/>
      <c r="AF35" s="75"/>
      <c r="AG35" s="6">
        <f t="shared" si="12"/>
        <v>0</v>
      </c>
      <c r="AH35" s="6">
        <f>'911'!H31</f>
        <v>0</v>
      </c>
      <c r="AI35" s="26">
        <f t="shared" si="13"/>
        <v>53324.049999999996</v>
      </c>
    </row>
    <row r="36" spans="1:35" x14ac:dyDescent="0.25">
      <c r="A36" s="77" t="s">
        <v>339</v>
      </c>
      <c r="B36" s="75"/>
      <c r="C36" s="75"/>
      <c r="D36" s="17">
        <f>'Airport Funds'!I32</f>
        <v>0</v>
      </c>
      <c r="E36" s="75"/>
      <c r="F36" s="75"/>
      <c r="G36" s="75"/>
      <c r="I36" s="75"/>
      <c r="J36" s="75"/>
      <c r="K36" s="19">
        <f t="shared" si="6"/>
        <v>0</v>
      </c>
      <c r="L36" s="75"/>
      <c r="M36" s="75"/>
      <c r="N36" s="75"/>
      <c r="O36" s="75"/>
      <c r="P36" s="75"/>
      <c r="Q36" s="16">
        <f t="shared" si="0"/>
        <v>0</v>
      </c>
      <c r="R36" s="33"/>
      <c r="S36" s="73"/>
      <c r="T36" s="75"/>
      <c r="U36" s="6"/>
      <c r="V36" s="73"/>
      <c r="W36" s="75"/>
      <c r="X36" s="6">
        <f t="shared" si="11"/>
        <v>0</v>
      </c>
      <c r="Y36" s="6">
        <f>'OEO-Weatherization'!H32</f>
        <v>0</v>
      </c>
      <c r="Z36" s="6">
        <f>'OEO-Other'!Y32</f>
        <v>0</v>
      </c>
      <c r="AA36" s="6">
        <f>'Transportation Fund'!Y33</f>
        <v>0</v>
      </c>
      <c r="AB36" s="6">
        <f>'Special Purpose '!E32</f>
        <v>136670.46</v>
      </c>
      <c r="AD36" s="75"/>
      <c r="AE36" s="75"/>
      <c r="AF36" s="75"/>
      <c r="AG36" s="6">
        <f t="shared" si="12"/>
        <v>0</v>
      </c>
      <c r="AH36" s="6">
        <f>'911'!H32</f>
        <v>0</v>
      </c>
      <c r="AI36" s="26">
        <f t="shared" si="13"/>
        <v>136670.46</v>
      </c>
    </row>
    <row r="37" spans="1:35" x14ac:dyDescent="0.25">
      <c r="A37" s="77" t="s">
        <v>504</v>
      </c>
      <c r="B37" s="75"/>
      <c r="C37" s="75"/>
      <c r="E37" s="75"/>
      <c r="F37" s="75"/>
      <c r="G37" s="75"/>
      <c r="I37" s="75"/>
      <c r="J37" s="75"/>
      <c r="K37" s="19"/>
      <c r="L37" s="75"/>
      <c r="M37" s="75"/>
      <c r="N37" s="75"/>
      <c r="O37" s="75"/>
      <c r="P37" s="75"/>
      <c r="Q37" s="16"/>
      <c r="R37" s="33"/>
      <c r="S37" s="73"/>
      <c r="T37" s="75"/>
      <c r="U37" s="6"/>
      <c r="V37" s="73"/>
      <c r="W37" s="75"/>
      <c r="X37" s="6"/>
      <c r="Y37" s="6"/>
      <c r="Z37" s="6"/>
      <c r="AA37" s="6"/>
      <c r="AB37" s="6"/>
      <c r="AD37" s="20">
        <v>11261.01</v>
      </c>
      <c r="AE37" s="75"/>
      <c r="AF37" s="75"/>
      <c r="AG37" s="6"/>
      <c r="AI37" s="26">
        <f t="shared" si="13"/>
        <v>11261.01</v>
      </c>
    </row>
    <row r="38" spans="1:35" x14ac:dyDescent="0.25">
      <c r="A38" s="77" t="s">
        <v>363</v>
      </c>
      <c r="B38" s="75"/>
      <c r="C38" s="75"/>
      <c r="D38" s="17">
        <f>'Airport Funds'!I33</f>
        <v>0</v>
      </c>
      <c r="E38" s="75"/>
      <c r="F38" s="75"/>
      <c r="G38" s="75"/>
      <c r="I38" s="75"/>
      <c r="J38" s="75"/>
      <c r="K38" s="19">
        <f t="shared" si="6"/>
        <v>0</v>
      </c>
      <c r="L38" s="75"/>
      <c r="M38" s="75"/>
      <c r="N38" s="75"/>
      <c r="O38" s="75"/>
      <c r="P38" s="75"/>
      <c r="Q38" s="16">
        <f t="shared" si="0"/>
        <v>0</v>
      </c>
      <c r="R38" s="33"/>
      <c r="S38" s="73"/>
      <c r="T38" s="75"/>
      <c r="U38" s="6"/>
      <c r="V38" s="73"/>
      <c r="W38" s="75"/>
      <c r="X38" s="6">
        <f t="shared" si="11"/>
        <v>0</v>
      </c>
      <c r="Y38" s="6">
        <f>'OEO-Weatherization'!H33</f>
        <v>0</v>
      </c>
      <c r="Z38" s="6">
        <f>'OEO-Other'!Y33</f>
        <v>0</v>
      </c>
      <c r="AA38" s="6">
        <f>'Transportation Fund'!Y34</f>
        <v>0</v>
      </c>
      <c r="AB38" s="6">
        <f>'Special Purpose '!E33</f>
        <v>0</v>
      </c>
      <c r="AD38" s="75"/>
      <c r="AE38" s="20">
        <v>872603.24</v>
      </c>
      <c r="AF38" s="20"/>
      <c r="AG38" s="6">
        <f t="shared" si="12"/>
        <v>872603.24</v>
      </c>
      <c r="AH38" s="6">
        <f>'911'!H33</f>
        <v>0</v>
      </c>
      <c r="AI38" s="26">
        <f t="shared" si="13"/>
        <v>872603.24</v>
      </c>
    </row>
    <row r="39" spans="1:35" x14ac:dyDescent="0.25">
      <c r="A39" s="77" t="s">
        <v>505</v>
      </c>
      <c r="B39" s="75"/>
      <c r="C39" s="75"/>
      <c r="D39" s="17">
        <f>'Airport Funds'!I34</f>
        <v>0</v>
      </c>
      <c r="E39" s="75"/>
      <c r="F39" s="75"/>
      <c r="G39" s="200">
        <v>43126.07</v>
      </c>
      <c r="I39" s="75"/>
      <c r="J39" s="75"/>
      <c r="K39" s="19">
        <f t="shared" si="6"/>
        <v>0</v>
      </c>
      <c r="L39" s="75"/>
      <c r="M39" s="75"/>
      <c r="N39" s="75"/>
      <c r="O39" s="75"/>
      <c r="P39" s="75"/>
      <c r="Q39" s="16">
        <f t="shared" si="0"/>
        <v>0</v>
      </c>
      <c r="R39" s="33"/>
      <c r="S39" s="73"/>
      <c r="T39" s="75"/>
      <c r="U39" s="6"/>
      <c r="V39" s="73"/>
      <c r="W39" s="75"/>
      <c r="X39" s="6">
        <f t="shared" si="11"/>
        <v>0</v>
      </c>
      <c r="Y39" s="6">
        <f>'OEO-Weatherization'!H34</f>
        <v>0</v>
      </c>
      <c r="Z39" s="6">
        <f>'OEO-Other'!Y34</f>
        <v>0</v>
      </c>
      <c r="AA39" s="6">
        <f>'Transportation Fund'!Y35</f>
        <v>0</v>
      </c>
      <c r="AB39" s="6">
        <f>'Special Purpose '!E34</f>
        <v>0</v>
      </c>
      <c r="AD39" s="75"/>
      <c r="AE39" s="75"/>
      <c r="AF39" s="75"/>
      <c r="AG39" s="6">
        <f t="shared" si="12"/>
        <v>0</v>
      </c>
      <c r="AH39" s="6">
        <f>'911'!H34</f>
        <v>0</v>
      </c>
      <c r="AI39" s="26">
        <f t="shared" si="13"/>
        <v>43126.07</v>
      </c>
    </row>
    <row r="40" spans="1:35" x14ac:dyDescent="0.25">
      <c r="A40" s="78" t="s">
        <v>365</v>
      </c>
      <c r="B40" s="75"/>
      <c r="C40" s="75"/>
      <c r="D40" s="17">
        <f>'Airport Funds'!I35</f>
        <v>0</v>
      </c>
      <c r="E40" s="75"/>
      <c r="F40" s="75"/>
      <c r="G40" s="75"/>
      <c r="I40" s="75"/>
      <c r="J40" s="75"/>
      <c r="K40" s="19">
        <f t="shared" si="6"/>
        <v>0</v>
      </c>
      <c r="L40" s="75"/>
      <c r="M40" s="75"/>
      <c r="N40" s="75"/>
      <c r="O40" s="75"/>
      <c r="P40" s="75"/>
      <c r="Q40" s="16">
        <f t="shared" si="0"/>
        <v>0</v>
      </c>
      <c r="R40" s="33">
        <f>CDBG!H24</f>
        <v>0</v>
      </c>
      <c r="S40" s="73"/>
      <c r="T40" s="75"/>
      <c r="U40" s="6">
        <f t="shared" ref="U40:U46" si="14">S40+T40</f>
        <v>0</v>
      </c>
      <c r="V40" s="73"/>
      <c r="W40" s="75"/>
      <c r="X40" s="6">
        <f>V40+W40</f>
        <v>0</v>
      </c>
      <c r="Y40" s="6">
        <f>'OEO-Weatherization'!H35</f>
        <v>0</v>
      </c>
      <c r="Z40" s="6">
        <f>'OEO-Other'!Y35</f>
        <v>0</v>
      </c>
      <c r="AA40" s="6">
        <f>'Transportation Fund'!Y36</f>
        <v>0</v>
      </c>
      <c r="AB40" s="6">
        <f>'Special Purpose '!E35</f>
        <v>0</v>
      </c>
      <c r="AD40" s="75"/>
      <c r="AE40" s="75"/>
      <c r="AF40" s="75"/>
      <c r="AG40" s="6">
        <f t="shared" si="12"/>
        <v>0</v>
      </c>
      <c r="AH40" s="6">
        <f>'911'!H35</f>
        <v>0</v>
      </c>
      <c r="AI40" s="26">
        <f t="shared" si="13"/>
        <v>0</v>
      </c>
    </row>
    <row r="41" spans="1:35" x14ac:dyDescent="0.25">
      <c r="A41" s="77" t="s">
        <v>202</v>
      </c>
      <c r="B41" s="75"/>
      <c r="C41" s="75"/>
      <c r="D41" s="17">
        <f>'Airport Funds'!I36</f>
        <v>0</v>
      </c>
      <c r="E41" s="75"/>
      <c r="F41" s="75"/>
      <c r="G41" s="75"/>
      <c r="I41" s="75"/>
      <c r="J41" s="75"/>
      <c r="K41" s="19">
        <f t="shared" si="6"/>
        <v>0</v>
      </c>
      <c r="L41" s="75"/>
      <c r="M41" s="75"/>
      <c r="N41" s="75"/>
      <c r="O41" s="75"/>
      <c r="P41" s="75"/>
      <c r="Q41" s="16">
        <f t="shared" si="0"/>
        <v>0</v>
      </c>
      <c r="R41" s="33"/>
      <c r="S41" s="73"/>
      <c r="T41" s="75"/>
      <c r="U41" s="6">
        <f t="shared" si="14"/>
        <v>0</v>
      </c>
      <c r="V41" s="73"/>
      <c r="W41" s="75"/>
      <c r="X41" s="6">
        <f t="shared" si="11"/>
        <v>0</v>
      </c>
      <c r="Y41" s="6">
        <f>'OEO-Weatherization'!H36</f>
        <v>0</v>
      </c>
      <c r="Z41" s="6">
        <f>'OEO-Other'!Y36</f>
        <v>0</v>
      </c>
      <c r="AA41" s="6">
        <f>'Transportation Fund'!Y37</f>
        <v>0</v>
      </c>
      <c r="AB41" s="6">
        <f>'Special Purpose '!E36</f>
        <v>0</v>
      </c>
      <c r="AD41" s="75"/>
      <c r="AE41" s="75"/>
      <c r="AF41" s="75"/>
      <c r="AG41" s="6">
        <f t="shared" si="12"/>
        <v>0</v>
      </c>
      <c r="AH41" s="6">
        <f>'911'!H36</f>
        <v>0</v>
      </c>
      <c r="AI41" s="26">
        <f t="shared" si="13"/>
        <v>0</v>
      </c>
    </row>
    <row r="42" spans="1:35" x14ac:dyDescent="0.25">
      <c r="A42" s="77" t="s">
        <v>366</v>
      </c>
      <c r="B42" s="75"/>
      <c r="C42" s="75"/>
      <c r="D42" s="17">
        <f>'Airport Funds'!I37</f>
        <v>0</v>
      </c>
      <c r="E42" s="75"/>
      <c r="F42" s="75"/>
      <c r="G42" s="75"/>
      <c r="I42" s="75"/>
      <c r="J42" s="75"/>
      <c r="K42" s="19">
        <f t="shared" si="6"/>
        <v>0</v>
      </c>
      <c r="L42" s="75"/>
      <c r="M42" s="75"/>
      <c r="N42" s="75"/>
      <c r="O42" s="75"/>
      <c r="P42" s="75"/>
      <c r="Q42" s="16">
        <f t="shared" si="0"/>
        <v>0</v>
      </c>
      <c r="R42" s="33"/>
      <c r="S42" s="73"/>
      <c r="T42" s="75"/>
      <c r="U42" s="6">
        <f t="shared" si="14"/>
        <v>0</v>
      </c>
      <c r="V42" s="73"/>
      <c r="W42" s="75"/>
      <c r="X42" s="6">
        <f t="shared" si="11"/>
        <v>0</v>
      </c>
      <c r="Y42" s="6">
        <f>'OEO-Weatherization'!H37</f>
        <v>0</v>
      </c>
      <c r="Z42" s="6">
        <f>'OEO-Other'!Y37</f>
        <v>0</v>
      </c>
      <c r="AA42" s="6">
        <f>'Transportation Fund'!Y38</f>
        <v>0</v>
      </c>
      <c r="AB42" s="6">
        <f>'Special Purpose '!E37</f>
        <v>0</v>
      </c>
      <c r="AD42" s="75"/>
      <c r="AE42" s="75"/>
      <c r="AF42" s="75"/>
      <c r="AG42" s="6">
        <f t="shared" si="12"/>
        <v>0</v>
      </c>
      <c r="AH42" s="6">
        <f>'911'!H37</f>
        <v>0</v>
      </c>
      <c r="AI42" s="26">
        <f t="shared" si="13"/>
        <v>0</v>
      </c>
    </row>
    <row r="43" spans="1:35" x14ac:dyDescent="0.25">
      <c r="A43" s="77" t="s">
        <v>367</v>
      </c>
      <c r="B43" s="75"/>
      <c r="C43" s="75"/>
      <c r="D43" s="17">
        <f>'Airport Funds'!I38</f>
        <v>61256.789999999986</v>
      </c>
      <c r="E43" s="75"/>
      <c r="F43" s="75"/>
      <c r="G43" s="75"/>
      <c r="I43" s="75"/>
      <c r="J43" s="75"/>
      <c r="K43" s="19">
        <f t="shared" si="6"/>
        <v>0</v>
      </c>
      <c r="L43" s="75"/>
      <c r="M43" s="75"/>
      <c r="N43" s="75"/>
      <c r="O43" s="75"/>
      <c r="P43" s="75"/>
      <c r="Q43" s="16">
        <f t="shared" si="0"/>
        <v>0</v>
      </c>
      <c r="R43" s="33"/>
      <c r="S43" s="73"/>
      <c r="T43" s="75"/>
      <c r="U43" s="6">
        <f t="shared" si="14"/>
        <v>0</v>
      </c>
      <c r="V43" s="73"/>
      <c r="W43" s="75"/>
      <c r="X43" s="6">
        <f t="shared" si="11"/>
        <v>0</v>
      </c>
      <c r="Y43" s="6">
        <f>'OEO-Weatherization'!H38</f>
        <v>0</v>
      </c>
      <c r="Z43" s="6">
        <f>'OEO-Other'!Y38</f>
        <v>0</v>
      </c>
      <c r="AA43" s="6">
        <f>'Transportation Fund'!Y39</f>
        <v>0</v>
      </c>
      <c r="AB43" s="6">
        <f>'Special Purpose '!E38</f>
        <v>0</v>
      </c>
      <c r="AD43" s="75"/>
      <c r="AE43" s="75"/>
      <c r="AF43" s="75"/>
      <c r="AG43" s="6">
        <f t="shared" si="12"/>
        <v>0</v>
      </c>
      <c r="AH43" s="6">
        <f>'911'!H38</f>
        <v>0</v>
      </c>
      <c r="AI43" s="26">
        <f t="shared" si="13"/>
        <v>61256.789999999986</v>
      </c>
    </row>
    <row r="44" spans="1:35" x14ac:dyDescent="0.25">
      <c r="A44" s="77" t="s">
        <v>368</v>
      </c>
      <c r="B44" s="75"/>
      <c r="C44" s="75"/>
      <c r="D44" s="17">
        <f>'Airport Funds'!I39</f>
        <v>0</v>
      </c>
      <c r="E44" s="75"/>
      <c r="F44" s="75"/>
      <c r="G44" s="20">
        <f>43126.07-43126.07</f>
        <v>0</v>
      </c>
      <c r="I44" s="75"/>
      <c r="J44" s="75"/>
      <c r="K44" s="19">
        <f t="shared" si="6"/>
        <v>0</v>
      </c>
      <c r="L44" s="75"/>
      <c r="M44" s="75"/>
      <c r="N44" s="75"/>
      <c r="O44" s="75"/>
      <c r="P44" s="75"/>
      <c r="Q44" s="16">
        <f t="shared" si="0"/>
        <v>0</v>
      </c>
      <c r="R44" s="33"/>
      <c r="S44" s="46">
        <v>-3.51</v>
      </c>
      <c r="T44" s="20"/>
      <c r="U44" s="6">
        <f t="shared" si="14"/>
        <v>-3.51</v>
      </c>
      <c r="V44" s="46">
        <v>81.19</v>
      </c>
      <c r="W44" s="20">
        <v>-81</v>
      </c>
      <c r="X44" s="6">
        <f t="shared" si="11"/>
        <v>0.18999999999999773</v>
      </c>
      <c r="Y44" s="6">
        <f>'OEO-Weatherization'!H39</f>
        <v>-0.3</v>
      </c>
      <c r="Z44" s="6">
        <f>'OEO-Other'!Y39</f>
        <v>13187.26</v>
      </c>
      <c r="AA44" s="6">
        <f>'Transportation Fund'!Y40</f>
        <v>-0.12</v>
      </c>
      <c r="AB44" s="6">
        <f>'Special Purpose '!E39</f>
        <v>0</v>
      </c>
      <c r="AD44" s="75"/>
      <c r="AE44" s="75"/>
      <c r="AF44" s="75"/>
      <c r="AG44" s="6">
        <f t="shared" si="12"/>
        <v>0</v>
      </c>
      <c r="AH44" s="6">
        <f>'911'!H39</f>
        <v>0</v>
      </c>
      <c r="AI44" s="26">
        <f t="shared" si="13"/>
        <v>13183.519999999999</v>
      </c>
    </row>
    <row r="45" spans="1:35" ht="15" customHeight="1" x14ac:dyDescent="0.25">
      <c r="A45" s="78" t="s">
        <v>17</v>
      </c>
      <c r="B45" s="75"/>
      <c r="C45" s="75"/>
      <c r="D45" s="17">
        <f>'Airport Funds'!I40</f>
        <v>0</v>
      </c>
      <c r="E45" s="75"/>
      <c r="F45" s="75"/>
      <c r="G45" s="75"/>
      <c r="I45" s="75"/>
      <c r="J45" s="75"/>
      <c r="K45" s="19">
        <f t="shared" si="6"/>
        <v>0</v>
      </c>
      <c r="L45" s="75"/>
      <c r="M45" s="75"/>
      <c r="N45" s="75"/>
      <c r="O45" s="75"/>
      <c r="P45" s="75"/>
      <c r="Q45" s="16">
        <f t="shared" si="0"/>
        <v>0</v>
      </c>
      <c r="R45" s="33">
        <f>CDBG!H25</f>
        <v>58254.850000000006</v>
      </c>
      <c r="S45" s="73"/>
      <c r="T45" s="75"/>
      <c r="U45" s="6">
        <f t="shared" si="14"/>
        <v>0</v>
      </c>
      <c r="V45" s="73"/>
      <c r="W45" s="75"/>
      <c r="X45" s="6">
        <f t="shared" si="11"/>
        <v>0</v>
      </c>
      <c r="Y45" s="6">
        <f>'OEO-Weatherization'!H40</f>
        <v>0</v>
      </c>
      <c r="Z45" s="6">
        <f>'OEO-Other'!Y40</f>
        <v>0</v>
      </c>
      <c r="AA45" s="6">
        <f>'Transportation Fund'!Y41</f>
        <v>0</v>
      </c>
      <c r="AB45" s="6">
        <f>'Special Purpose '!E40</f>
        <v>0</v>
      </c>
      <c r="AD45" s="75"/>
      <c r="AE45" s="75"/>
      <c r="AF45" s="75"/>
      <c r="AG45" s="6">
        <f>AE45+AF45</f>
        <v>0</v>
      </c>
      <c r="AH45" s="6">
        <f>'Airport Funds'!I40</f>
        <v>0</v>
      </c>
      <c r="AI45" s="26">
        <f>B45+C45+D45+E45+F45+G45+K45+L45+M45+N45+Q45+R45+U45+X45+Y45+Z45+AA45+AB45+AD45+AG45+AH45</f>
        <v>58254.850000000006</v>
      </c>
    </row>
    <row r="46" spans="1:35" x14ac:dyDescent="0.25">
      <c r="A46" s="2" t="s">
        <v>18</v>
      </c>
      <c r="B46" s="6">
        <f>SUM(B24:B45)</f>
        <v>1390654.04</v>
      </c>
      <c r="C46" s="6">
        <f>SUM(C24:C45)</f>
        <v>24635.57</v>
      </c>
      <c r="D46" s="17">
        <f>'Airport Funds'!I41</f>
        <v>61256.789999999986</v>
      </c>
      <c r="E46" s="17">
        <f>SUM(E24:E45)</f>
        <v>86115.23</v>
      </c>
      <c r="F46" s="17">
        <f>SUM(F24:F45)</f>
        <v>339366.45</v>
      </c>
      <c r="G46" s="17">
        <f>SUM(G24:G45)</f>
        <v>43126.07</v>
      </c>
      <c r="I46" s="17">
        <f>SUM(I24:I45)</f>
        <v>311308.31</v>
      </c>
      <c r="J46" s="17">
        <f>SUM(J24:J45)</f>
        <v>0</v>
      </c>
      <c r="K46" s="19">
        <f t="shared" si="6"/>
        <v>311308.31</v>
      </c>
      <c r="L46" s="17">
        <f>SUM(L24:L45)</f>
        <v>485843.37</v>
      </c>
      <c r="M46" s="6">
        <f>SUM(M24:M45)</f>
        <v>9321.9599999999991</v>
      </c>
      <c r="N46" s="6">
        <f>SUM(N24:N45)</f>
        <v>34881.449999999997</v>
      </c>
      <c r="O46" s="6">
        <f>SUM(O24:O45)</f>
        <v>18442.599999999999</v>
      </c>
      <c r="P46" s="6">
        <f>SUM(P24:P45)</f>
        <v>0</v>
      </c>
      <c r="Q46" s="16">
        <f t="shared" si="0"/>
        <v>18442.599999999999</v>
      </c>
      <c r="R46" s="6">
        <f>CDBG!H26</f>
        <v>58254.850000000006</v>
      </c>
      <c r="S46" s="43">
        <f>SUM(S24:S45)</f>
        <v>-3.51</v>
      </c>
      <c r="T46" s="43">
        <f>SUM(T24:T45)</f>
        <v>0</v>
      </c>
      <c r="U46" s="6">
        <f t="shared" si="14"/>
        <v>-3.51</v>
      </c>
      <c r="V46" s="43">
        <f>SUM(V24:V45)</f>
        <v>81.19</v>
      </c>
      <c r="W46" s="6">
        <f>SUM(W24:W45)</f>
        <v>-81</v>
      </c>
      <c r="X46" s="6">
        <f>V46+W46</f>
        <v>0.18999999999999773</v>
      </c>
      <c r="Y46" s="6">
        <f>'OEO-Weatherization'!H41</f>
        <v>-0.3</v>
      </c>
      <c r="Z46" s="6">
        <f>'OEO-Other'!Y41</f>
        <v>13187.26</v>
      </c>
      <c r="AA46" s="6">
        <f>'Transportation Fund'!Y42</f>
        <v>-0.12</v>
      </c>
      <c r="AB46" s="6">
        <f>'Special Purpose '!E41</f>
        <v>176884.34</v>
      </c>
      <c r="AD46" s="6">
        <f>SUM(AD24:AD45)</f>
        <v>11261.01</v>
      </c>
      <c r="AE46" s="6">
        <f>SUM(AE24:AE45)</f>
        <v>872603.24</v>
      </c>
      <c r="AF46" s="6">
        <f>SUM(AF24:AF45)</f>
        <v>0</v>
      </c>
      <c r="AG46" s="6">
        <f>AE46+AF46</f>
        <v>872603.24</v>
      </c>
      <c r="AH46" s="6">
        <f>'911'!H41</f>
        <v>88647.51</v>
      </c>
      <c r="AI46" s="26">
        <f t="shared" si="13"/>
        <v>4025786.3099999996</v>
      </c>
    </row>
    <row r="47" spans="1:35" x14ac:dyDescent="0.25">
      <c r="K47" s="19">
        <f t="shared" si="6"/>
        <v>0</v>
      </c>
      <c r="Q47" s="16">
        <f t="shared" si="0"/>
        <v>0</v>
      </c>
      <c r="R47" s="6"/>
      <c r="T47" s="6"/>
      <c r="U47" s="6"/>
      <c r="W47" s="6"/>
      <c r="X47" s="6"/>
      <c r="Y47" s="6"/>
      <c r="Z47" s="6"/>
      <c r="AA47" s="6"/>
      <c r="AB47" s="6"/>
      <c r="AD47" s="6"/>
      <c r="AE47" s="6"/>
      <c r="AF47" s="6"/>
      <c r="AG47" s="6"/>
      <c r="AI47" s="26"/>
    </row>
    <row r="48" spans="1:35" x14ac:dyDescent="0.25">
      <c r="A48" s="2" t="s">
        <v>19</v>
      </c>
      <c r="B48" s="6">
        <f>B21+B46</f>
        <v>1396466.54</v>
      </c>
      <c r="C48" s="6">
        <f>C21+C46</f>
        <v>24635.57</v>
      </c>
      <c r="D48" s="17">
        <f>'Airport Funds'!I43</f>
        <v>290980.08999999997</v>
      </c>
      <c r="E48" s="17">
        <f>E21+E46</f>
        <v>86115.23</v>
      </c>
      <c r="F48" s="17">
        <f>F21+F46</f>
        <v>339366.45</v>
      </c>
      <c r="G48" s="17">
        <f>G21+G46</f>
        <v>43126.07</v>
      </c>
      <c r="I48" s="17">
        <f t="shared" ref="I48:P48" si="15">I21+I46</f>
        <v>312384.53999999998</v>
      </c>
      <c r="J48" s="17">
        <f t="shared" si="15"/>
        <v>0</v>
      </c>
      <c r="K48" s="17">
        <f t="shared" si="15"/>
        <v>312384.53999999998</v>
      </c>
      <c r="L48" s="17">
        <f t="shared" si="15"/>
        <v>485883.41</v>
      </c>
      <c r="M48" s="6">
        <f t="shared" si="15"/>
        <v>9321.9599999999991</v>
      </c>
      <c r="N48" s="6">
        <f t="shared" si="15"/>
        <v>35588.519999999997</v>
      </c>
      <c r="O48" s="6">
        <f t="shared" si="15"/>
        <v>18442.599999999999</v>
      </c>
      <c r="P48" s="6">
        <f t="shared" si="15"/>
        <v>0</v>
      </c>
      <c r="Q48" s="16">
        <f t="shared" si="0"/>
        <v>18442.599999999999</v>
      </c>
      <c r="R48" s="6">
        <f>CDBG!H28</f>
        <v>58254.850000000006</v>
      </c>
      <c r="S48" s="43">
        <f>S21+S46</f>
        <v>62580.53</v>
      </c>
      <c r="T48" s="6">
        <f>T21+T46</f>
        <v>0</v>
      </c>
      <c r="U48" s="6">
        <f>S48+T48</f>
        <v>62580.53</v>
      </c>
      <c r="V48" s="43">
        <f>V21+V46</f>
        <v>9049.4900000000016</v>
      </c>
      <c r="W48" s="6">
        <f>W21+W46</f>
        <v>0</v>
      </c>
      <c r="X48" s="6">
        <f>V48+W48</f>
        <v>9049.4900000000016</v>
      </c>
      <c r="Y48" s="6">
        <f>'OEO-Weatherization'!H43</f>
        <v>35741.81</v>
      </c>
      <c r="Z48" s="6">
        <f>'OEO-Other'!Y43</f>
        <v>756117.01</v>
      </c>
      <c r="AA48" s="6">
        <f>'Transportation Fund'!Y44</f>
        <v>110104.4</v>
      </c>
      <c r="AB48" s="6">
        <f>'Special Purpose '!E43</f>
        <v>176884.34</v>
      </c>
      <c r="AD48" s="6">
        <f>AD21+AD46</f>
        <v>11261.01</v>
      </c>
      <c r="AE48" s="6">
        <f>AE21+AE46</f>
        <v>872603.24</v>
      </c>
      <c r="AF48" s="6">
        <f>AF21+AF46</f>
        <v>0</v>
      </c>
      <c r="AG48" s="6">
        <f>AE48+AF48</f>
        <v>872603.24</v>
      </c>
      <c r="AH48" s="6">
        <f>'911'!H43</f>
        <v>937510.19</v>
      </c>
      <c r="AI48" s="26">
        <f>B48+C48+D48+E48+F48+G48+K48+L48+M48+N48+Q48+R48+U48+X48+Y48+Z48+AA48+AB48+AD48+AG48+AH48</f>
        <v>6072417.8500000015</v>
      </c>
    </row>
    <row r="49" spans="1:35" x14ac:dyDescent="0.25">
      <c r="B49" s="49" t="str">
        <f>IF(B13=B48,"YES","NO")</f>
        <v>YES</v>
      </c>
      <c r="C49" s="49" t="str">
        <f t="shared" ref="C49:AI49" si="16">IF(C13=C48,"YES","NO")</f>
        <v>YES</v>
      </c>
      <c r="D49" s="49" t="str">
        <f t="shared" si="16"/>
        <v>YES</v>
      </c>
      <c r="E49" s="49" t="str">
        <f t="shared" si="16"/>
        <v>YES</v>
      </c>
      <c r="F49" s="49" t="str">
        <f t="shared" si="16"/>
        <v>YES</v>
      </c>
      <c r="G49" s="49" t="str">
        <f t="shared" si="16"/>
        <v>YES</v>
      </c>
      <c r="H49" s="49" t="str">
        <f t="shared" si="16"/>
        <v>YES</v>
      </c>
      <c r="I49" s="49" t="str">
        <f t="shared" si="16"/>
        <v>YES</v>
      </c>
      <c r="J49" s="49" t="str">
        <f t="shared" si="16"/>
        <v>YES</v>
      </c>
      <c r="K49" s="49" t="str">
        <f t="shared" si="16"/>
        <v>YES</v>
      </c>
      <c r="L49" s="49" t="str">
        <f t="shared" si="16"/>
        <v>YES</v>
      </c>
      <c r="M49" s="49" t="str">
        <f t="shared" si="16"/>
        <v>YES</v>
      </c>
      <c r="N49" s="49" t="str">
        <f t="shared" si="16"/>
        <v>YES</v>
      </c>
      <c r="O49" s="49" t="str">
        <f t="shared" si="16"/>
        <v>YES</v>
      </c>
      <c r="P49" s="49" t="str">
        <f t="shared" si="16"/>
        <v>YES</v>
      </c>
      <c r="Q49" s="49" t="str">
        <f t="shared" si="16"/>
        <v>YES</v>
      </c>
      <c r="R49" s="49" t="str">
        <f t="shared" si="16"/>
        <v>YES</v>
      </c>
      <c r="S49" s="49" t="str">
        <f t="shared" si="16"/>
        <v>YES</v>
      </c>
      <c r="T49" s="49" t="str">
        <f t="shared" si="16"/>
        <v>YES</v>
      </c>
      <c r="U49" s="49" t="str">
        <f t="shared" si="16"/>
        <v>YES</v>
      </c>
      <c r="V49" s="49" t="str">
        <f t="shared" si="16"/>
        <v>NO</v>
      </c>
      <c r="W49" s="49" t="str">
        <f t="shared" si="16"/>
        <v>YES</v>
      </c>
      <c r="X49" s="49" t="str">
        <f t="shared" si="16"/>
        <v>NO</v>
      </c>
      <c r="Y49" s="49" t="str">
        <f t="shared" si="16"/>
        <v>YES</v>
      </c>
      <c r="Z49" s="49" t="str">
        <f t="shared" si="16"/>
        <v>YES</v>
      </c>
      <c r="AA49" s="49" t="str">
        <f t="shared" si="16"/>
        <v>YES</v>
      </c>
      <c r="AB49" s="49" t="str">
        <f t="shared" si="16"/>
        <v>YES</v>
      </c>
      <c r="AC49" s="49" t="str">
        <f t="shared" si="16"/>
        <v>YES</v>
      </c>
      <c r="AD49" s="49" t="str">
        <f t="shared" si="16"/>
        <v>YES</v>
      </c>
      <c r="AE49" s="49" t="str">
        <f t="shared" si="16"/>
        <v>YES</v>
      </c>
      <c r="AF49" s="49" t="str">
        <f t="shared" si="16"/>
        <v>YES</v>
      </c>
      <c r="AG49" s="49" t="str">
        <f t="shared" si="16"/>
        <v>YES</v>
      </c>
      <c r="AH49" s="49" t="str">
        <f t="shared" si="16"/>
        <v>YES</v>
      </c>
      <c r="AI49" s="49" t="str">
        <f t="shared" si="16"/>
        <v>YES</v>
      </c>
    </row>
    <row r="50" spans="1:35" x14ac:dyDescent="0.25">
      <c r="A50" s="3" t="s">
        <v>20</v>
      </c>
      <c r="K50" s="19">
        <f t="shared" ref="K50:K72" si="17">SUM(I50:J50)</f>
        <v>0</v>
      </c>
      <c r="Q50" s="16">
        <f t="shared" si="0"/>
        <v>0</v>
      </c>
      <c r="R50" s="6"/>
      <c r="T50" s="6"/>
      <c r="U50" s="6"/>
      <c r="W50" s="6"/>
      <c r="X50" s="6"/>
      <c r="Y50" s="6"/>
      <c r="Z50" s="6"/>
      <c r="AA50" s="6"/>
      <c r="AB50" s="6"/>
      <c r="AD50" s="6"/>
      <c r="AE50" s="6"/>
      <c r="AF50" s="6"/>
      <c r="AG50" s="6"/>
      <c r="AI50" s="26"/>
    </row>
    <row r="51" spans="1:35" x14ac:dyDescent="0.25">
      <c r="A51" s="4" t="s">
        <v>21</v>
      </c>
      <c r="B51" s="20">
        <f>499018.1+77192.79</f>
        <v>576210.89</v>
      </c>
      <c r="C51" s="20"/>
      <c r="D51" s="54">
        <f>'Airport Funds'!I46</f>
        <v>367056.03</v>
      </c>
      <c r="E51" s="20">
        <v>7042.91</v>
      </c>
      <c r="F51" s="20">
        <v>158509.39000000001</v>
      </c>
      <c r="G51" s="20"/>
      <c r="I51" s="20"/>
      <c r="J51" s="20"/>
      <c r="K51" s="19">
        <f t="shared" si="17"/>
        <v>0</v>
      </c>
      <c r="L51" s="20"/>
      <c r="M51" s="20"/>
      <c r="N51" s="20"/>
      <c r="O51" s="20"/>
      <c r="P51" s="20"/>
      <c r="Q51" s="16">
        <f t="shared" si="0"/>
        <v>0</v>
      </c>
      <c r="R51" s="6">
        <f>CDBG!H31</f>
        <v>441218.52</v>
      </c>
      <c r="S51" s="46">
        <v>337560</v>
      </c>
      <c r="T51" s="20"/>
      <c r="U51" s="55">
        <f t="shared" ref="U51:U56" si="18">S51+T51</f>
        <v>337560</v>
      </c>
      <c r="V51" s="46">
        <v>158813.95000000001</v>
      </c>
      <c r="W51" s="20">
        <v>-81</v>
      </c>
      <c r="X51" s="6">
        <f>V51+W51</f>
        <v>158732.95000000001</v>
      </c>
      <c r="Y51" s="6">
        <f>'OEO-Weatherization'!H46</f>
        <v>21770.37</v>
      </c>
      <c r="Z51" s="6">
        <f>'OEO-Other'!Y46</f>
        <v>814600.76</v>
      </c>
      <c r="AA51" s="6">
        <f>'Transportation Fund'!Y47</f>
        <v>1325753.23</v>
      </c>
      <c r="AB51" s="6">
        <f>'Special Purpose '!E46</f>
        <v>0</v>
      </c>
      <c r="AD51" s="20"/>
      <c r="AE51" s="20">
        <v>452939.97</v>
      </c>
      <c r="AF51" s="20">
        <f>-120886+6735+575</f>
        <v>-113576</v>
      </c>
      <c r="AG51" s="6">
        <f>AE51+AF51</f>
        <v>339363.97</v>
      </c>
      <c r="AH51" s="6">
        <f>'911'!H46</f>
        <v>2722330.84</v>
      </c>
      <c r="AI51" s="26">
        <f t="shared" ref="AI51:AI56" si="19">B51+C51+D51+E51+F51+G51+K51+L51+M51+N51+Q51+R51+U51+X51+Y51+Z51+AA51+AB51+AD51+AG51+AH51</f>
        <v>7270149.8600000003</v>
      </c>
    </row>
    <row r="52" spans="1:35" x14ac:dyDescent="0.25">
      <c r="A52" s="4" t="s">
        <v>22</v>
      </c>
      <c r="B52" s="20">
        <f>77192.79-77192.79</f>
        <v>0</v>
      </c>
      <c r="C52" s="20">
        <f>106.25+32714.4+5795.04</f>
        <v>38615.69</v>
      </c>
      <c r="D52" s="54">
        <f>'Airport Funds'!I47</f>
        <v>342112.74</v>
      </c>
      <c r="E52" s="20">
        <v>21750</v>
      </c>
      <c r="F52" s="20"/>
      <c r="G52" s="20">
        <v>27420</v>
      </c>
      <c r="I52" s="20">
        <v>55916.34</v>
      </c>
      <c r="J52" s="20"/>
      <c r="K52" s="19">
        <f t="shared" si="17"/>
        <v>55916.34</v>
      </c>
      <c r="L52" s="20">
        <f>2030+84724.61</f>
        <v>86754.61</v>
      </c>
      <c r="M52" s="20">
        <v>725.03</v>
      </c>
      <c r="N52" s="20">
        <v>11102</v>
      </c>
      <c r="O52" s="20">
        <v>8052.09</v>
      </c>
      <c r="P52" s="20"/>
      <c r="Q52" s="16">
        <f t="shared" si="0"/>
        <v>8052.09</v>
      </c>
      <c r="R52" s="6">
        <f>CDBG!H32</f>
        <v>0</v>
      </c>
      <c r="S52" s="46"/>
      <c r="T52" s="20"/>
      <c r="U52" s="55">
        <f t="shared" si="18"/>
        <v>0</v>
      </c>
      <c r="V52" s="46"/>
      <c r="W52" s="20"/>
      <c r="X52" s="6">
        <f>V52+W52</f>
        <v>0</v>
      </c>
      <c r="Y52" s="6">
        <f>'OEO-Weatherization'!H47</f>
        <v>0</v>
      </c>
      <c r="Z52" s="6">
        <f>'OEO-Other'!Y47</f>
        <v>20</v>
      </c>
      <c r="AA52" s="6">
        <f>'Transportation Fund'!Y48</f>
        <v>0</v>
      </c>
      <c r="AB52" s="6">
        <f>'Special Purpose '!E47</f>
        <v>0</v>
      </c>
      <c r="AD52" s="20">
        <v>450</v>
      </c>
      <c r="AE52" s="20"/>
      <c r="AF52" s="20">
        <v>120886</v>
      </c>
      <c r="AG52" s="17">
        <f>AE52+AF52</f>
        <v>120886</v>
      </c>
      <c r="AH52" s="6">
        <f>'911'!H47</f>
        <v>0</v>
      </c>
      <c r="AI52" s="26">
        <f t="shared" si="19"/>
        <v>713804.5</v>
      </c>
    </row>
    <row r="53" spans="1:35" x14ac:dyDescent="0.25">
      <c r="A53" s="4" t="s">
        <v>239</v>
      </c>
      <c r="B53" s="20"/>
      <c r="C53" s="20">
        <f>5795.04-5795.04</f>
        <v>0</v>
      </c>
      <c r="D53" s="54"/>
      <c r="E53" s="20"/>
      <c r="F53" s="20"/>
      <c r="G53" s="20"/>
      <c r="I53" s="20"/>
      <c r="J53" s="20"/>
      <c r="K53" s="19">
        <f t="shared" si="17"/>
        <v>0</v>
      </c>
      <c r="L53" s="20">
        <f>84724.61-84724.61</f>
        <v>0</v>
      </c>
      <c r="M53" s="20"/>
      <c r="N53" s="20"/>
      <c r="O53" s="20"/>
      <c r="P53" s="20"/>
      <c r="Q53" s="16"/>
      <c r="R53" s="6"/>
      <c r="S53" s="46"/>
      <c r="T53" s="20"/>
      <c r="U53" s="55">
        <f t="shared" si="18"/>
        <v>0</v>
      </c>
      <c r="V53" s="46"/>
      <c r="W53" s="20"/>
      <c r="X53" s="6"/>
      <c r="Y53" s="6">
        <f>'OEO-Weatherization'!H48</f>
        <v>0</v>
      </c>
      <c r="Z53" s="6">
        <f>'OEO-Other'!Y48</f>
        <v>0</v>
      </c>
      <c r="AA53" s="6">
        <f>'Transportation Fund'!Y49</f>
        <v>0</v>
      </c>
      <c r="AB53" s="6"/>
      <c r="AD53" s="20"/>
      <c r="AE53" s="20"/>
      <c r="AF53" s="20"/>
      <c r="AG53" s="17"/>
      <c r="AH53" s="6">
        <v>0</v>
      </c>
      <c r="AI53" s="26">
        <f t="shared" si="19"/>
        <v>0</v>
      </c>
    </row>
    <row r="54" spans="1:35" ht="15" customHeight="1" x14ac:dyDescent="0.25">
      <c r="A54" s="4" t="s">
        <v>23</v>
      </c>
      <c r="B54" s="20">
        <v>2952.16</v>
      </c>
      <c r="C54" s="20">
        <v>23.39</v>
      </c>
      <c r="D54" s="54">
        <f>'Airport Funds'!I48</f>
        <v>279.93</v>
      </c>
      <c r="E54" s="20">
        <v>203.52</v>
      </c>
      <c r="F54" s="20">
        <v>802.79</v>
      </c>
      <c r="G54" s="20">
        <v>76.650000000000006</v>
      </c>
      <c r="I54" s="20">
        <v>714.93</v>
      </c>
      <c r="J54" s="20"/>
      <c r="K54" s="19">
        <f t="shared" si="17"/>
        <v>714.93</v>
      </c>
      <c r="L54" s="20">
        <v>1064.6400000000001</v>
      </c>
      <c r="M54" s="20">
        <v>20.149999999999999</v>
      </c>
      <c r="N54" s="20">
        <v>74.069999999999993</v>
      </c>
      <c r="O54" s="20">
        <v>56.49</v>
      </c>
      <c r="P54" s="20"/>
      <c r="Q54" s="16">
        <f>SUM(O54:P54)</f>
        <v>56.49</v>
      </c>
      <c r="R54" s="6">
        <f>CDBG!H33</f>
        <v>21.16</v>
      </c>
      <c r="S54" s="46"/>
      <c r="T54" s="20"/>
      <c r="U54" s="55">
        <f t="shared" si="18"/>
        <v>0</v>
      </c>
      <c r="V54" s="46"/>
      <c r="W54" s="20"/>
      <c r="X54" s="6">
        <f>V54+W54</f>
        <v>0</v>
      </c>
      <c r="Y54" s="6">
        <f>'OEO-Weatherization'!H49</f>
        <v>0</v>
      </c>
      <c r="Z54" s="6">
        <f>'OEO-Other'!Y49</f>
        <v>1646.4799999999998</v>
      </c>
      <c r="AA54" s="6">
        <f>'Transportation Fund'!Y50</f>
        <v>0</v>
      </c>
      <c r="AB54" s="6">
        <f>'Special Purpose '!E48</f>
        <v>12059.519999999999</v>
      </c>
      <c r="AD54" s="20">
        <v>25.58</v>
      </c>
      <c r="AE54" s="20">
        <v>1669.11</v>
      </c>
      <c r="AF54" s="20"/>
      <c r="AG54" s="17">
        <f>AE54+AF54</f>
        <v>1669.11</v>
      </c>
      <c r="AH54" s="6">
        <f>'911'!H48</f>
        <v>4287.95</v>
      </c>
      <c r="AI54" s="26">
        <f t="shared" si="19"/>
        <v>25978.52</v>
      </c>
    </row>
    <row r="55" spans="1:35" x14ac:dyDescent="0.25">
      <c r="A55" s="4" t="s">
        <v>24</v>
      </c>
      <c r="B55" s="20"/>
      <c r="C55" s="20"/>
      <c r="D55" s="54">
        <f>'Airport Funds'!I49</f>
        <v>0</v>
      </c>
      <c r="E55" s="20"/>
      <c r="F55" s="20"/>
      <c r="G55" s="20"/>
      <c r="I55" s="20"/>
      <c r="J55" s="20"/>
      <c r="K55" s="19">
        <f t="shared" si="17"/>
        <v>0</v>
      </c>
      <c r="L55" s="20"/>
      <c r="M55" s="20"/>
      <c r="N55" s="20"/>
      <c r="O55" s="20"/>
      <c r="P55" s="20"/>
      <c r="Q55" s="16">
        <f>SUM(O55:P55)</f>
        <v>0</v>
      </c>
      <c r="R55" s="6">
        <f>CDBG!H34</f>
        <v>0</v>
      </c>
      <c r="S55" s="46"/>
      <c r="T55" s="20"/>
      <c r="U55" s="55">
        <f t="shared" si="18"/>
        <v>0</v>
      </c>
      <c r="V55" s="46"/>
      <c r="W55" s="20"/>
      <c r="X55" s="6">
        <f>V55+W55</f>
        <v>0</v>
      </c>
      <c r="Y55" s="6">
        <f>'OEO-Weatherization'!H50</f>
        <v>0</v>
      </c>
      <c r="Z55" s="6">
        <f>'OEO-Other'!Y50</f>
        <v>8324.57</v>
      </c>
      <c r="AA55" s="6">
        <f>'Transportation Fund'!Y51</f>
        <v>0</v>
      </c>
      <c r="AB55" s="6">
        <f>'Special Purpose '!E49</f>
        <v>0</v>
      </c>
      <c r="AD55" s="20"/>
      <c r="AE55" s="20"/>
      <c r="AF55" s="20">
        <v>60</v>
      </c>
      <c r="AG55" s="6">
        <f>AE55+AF55</f>
        <v>60</v>
      </c>
      <c r="AH55" s="6">
        <f>'911'!H49</f>
        <v>0</v>
      </c>
      <c r="AI55" s="26">
        <f t="shared" si="19"/>
        <v>8384.57</v>
      </c>
    </row>
    <row r="56" spans="1:35" x14ac:dyDescent="0.25">
      <c r="A56" s="2" t="s">
        <v>25</v>
      </c>
      <c r="B56" s="6">
        <f t="shared" ref="B56:G56" si="20">SUM(B51:B55)</f>
        <v>579163.05000000005</v>
      </c>
      <c r="C56" s="6">
        <f t="shared" si="20"/>
        <v>38639.08</v>
      </c>
      <c r="D56" s="6">
        <f t="shared" si="20"/>
        <v>709448.70000000007</v>
      </c>
      <c r="E56" s="17">
        <f t="shared" si="20"/>
        <v>28996.43</v>
      </c>
      <c r="F56" s="17">
        <f t="shared" si="20"/>
        <v>159312.18000000002</v>
      </c>
      <c r="G56" s="17">
        <f t="shared" si="20"/>
        <v>27496.65</v>
      </c>
      <c r="I56" s="17">
        <f>SUM(I51:I55)</f>
        <v>56631.27</v>
      </c>
      <c r="J56" s="17">
        <f>SUM(J51:J55)</f>
        <v>0</v>
      </c>
      <c r="K56" s="19">
        <f t="shared" si="17"/>
        <v>56631.27</v>
      </c>
      <c r="L56" s="17">
        <f>SUM(L51:L55)</f>
        <v>87819.25</v>
      </c>
      <c r="M56" s="6">
        <f>SUM(M51:M55)</f>
        <v>745.18</v>
      </c>
      <c r="N56" s="6">
        <f>SUM(N51:N55)</f>
        <v>11176.07</v>
      </c>
      <c r="O56" s="6">
        <f>SUM(O51:O55)</f>
        <v>8108.58</v>
      </c>
      <c r="P56" s="6">
        <f>SUM(P51:P55)</f>
        <v>0</v>
      </c>
      <c r="Q56" s="16">
        <f>SUM(O56:P56)</f>
        <v>8108.58</v>
      </c>
      <c r="R56" s="6">
        <f>CDBG!H35</f>
        <v>441239.68</v>
      </c>
      <c r="S56" s="43">
        <f>SUM(S51:S55)</f>
        <v>337560</v>
      </c>
      <c r="T56" s="6">
        <f>SUM(T51:T55)</f>
        <v>0</v>
      </c>
      <c r="U56" s="6">
        <f t="shared" si="18"/>
        <v>337560</v>
      </c>
      <c r="V56" s="43">
        <f>SUM(V51:V55)</f>
        <v>158813.95000000001</v>
      </c>
      <c r="W56" s="6">
        <f>SUM(W51:W55)</f>
        <v>-81</v>
      </c>
      <c r="X56" s="6">
        <f>V56+W56</f>
        <v>158732.95000000001</v>
      </c>
      <c r="Y56" s="6">
        <f>'OEO-Weatherization'!H51</f>
        <v>21770.37</v>
      </c>
      <c r="Z56" s="6">
        <f>'OEO-Other'!Y51</f>
        <v>824591.80999999994</v>
      </c>
      <c r="AA56" s="6">
        <f>'Transportation Fund'!Y52</f>
        <v>1325753.23</v>
      </c>
      <c r="AB56" s="6">
        <f>'Special Purpose '!E50</f>
        <v>12059.519999999999</v>
      </c>
      <c r="AD56" s="6">
        <f>SUM(AD51:AD55)</f>
        <v>475.58</v>
      </c>
      <c r="AE56" s="6">
        <f>SUM(AE51:AE55)</f>
        <v>454609.07999999996</v>
      </c>
      <c r="AF56" s="6">
        <f>SUM(AF51:AF55)</f>
        <v>7370</v>
      </c>
      <c r="AG56" s="6">
        <f>AE56+AF56</f>
        <v>461979.07999999996</v>
      </c>
      <c r="AH56" s="6">
        <f>'911'!H50</f>
        <v>2726618.7899999996</v>
      </c>
      <c r="AI56" s="26">
        <f t="shared" si="19"/>
        <v>8018317.4499999993</v>
      </c>
    </row>
    <row r="57" spans="1:35" x14ac:dyDescent="0.25">
      <c r="K57" s="19">
        <f t="shared" si="17"/>
        <v>0</v>
      </c>
      <c r="Q57" s="16"/>
      <c r="R57" s="6"/>
      <c r="T57" s="6"/>
      <c r="U57" s="6"/>
      <c r="W57" s="6"/>
      <c r="X57" s="6"/>
      <c r="Y57" s="6"/>
      <c r="Z57" s="6"/>
      <c r="AA57" s="6"/>
      <c r="AB57" s="6"/>
      <c r="AD57" s="6"/>
      <c r="AE57" s="6"/>
      <c r="AF57" s="6"/>
      <c r="AG57" s="6"/>
      <c r="AI57" s="26"/>
    </row>
    <row r="58" spans="1:35" x14ac:dyDescent="0.25">
      <c r="A58" s="3" t="s">
        <v>26</v>
      </c>
      <c r="K58" s="19">
        <f t="shared" si="17"/>
        <v>0</v>
      </c>
      <c r="Q58" s="16"/>
      <c r="R58" s="6"/>
      <c r="T58" s="6"/>
      <c r="U58" s="6"/>
      <c r="W58" s="6"/>
      <c r="X58" s="6"/>
      <c r="Y58" s="6"/>
      <c r="Z58" s="6"/>
      <c r="AA58" s="6"/>
      <c r="AB58" s="6"/>
      <c r="AD58" s="6"/>
      <c r="AE58" s="6"/>
      <c r="AF58" s="6"/>
      <c r="AG58" s="6"/>
      <c r="AI58" s="26"/>
    </row>
    <row r="59" spans="1:35" x14ac:dyDescent="0.25">
      <c r="A59" s="4" t="s">
        <v>27</v>
      </c>
      <c r="B59" s="75"/>
      <c r="C59" s="75"/>
      <c r="D59" s="55"/>
      <c r="E59" s="75"/>
      <c r="F59" s="75"/>
      <c r="G59" s="75">
        <v>4140.1000000000004</v>
      </c>
      <c r="I59" s="75"/>
      <c r="J59" s="20"/>
      <c r="K59" s="19">
        <f t="shared" si="17"/>
        <v>0</v>
      </c>
      <c r="L59" s="75"/>
      <c r="M59" s="75"/>
      <c r="N59" s="20">
        <v>4658.54</v>
      </c>
      <c r="O59" s="75"/>
      <c r="P59" s="20">
        <v>17613.5</v>
      </c>
      <c r="Q59" s="16">
        <f t="shared" ref="Q59:Q72" si="21">SUM(O59:P59)</f>
        <v>17613.5</v>
      </c>
      <c r="R59" s="6">
        <f>CDBG!H38</f>
        <v>0</v>
      </c>
      <c r="S59" s="73"/>
      <c r="T59" s="20"/>
      <c r="U59" s="6">
        <f t="shared" ref="U59:U64" si="22">S59+T59</f>
        <v>0</v>
      </c>
      <c r="V59" s="73"/>
      <c r="W59" s="20"/>
      <c r="X59" s="6">
        <f t="shared" ref="X59:X65" si="23">V59+W59</f>
        <v>0</v>
      </c>
      <c r="Y59" s="6">
        <f>'OEO-Weatherization'!H54</f>
        <v>0</v>
      </c>
      <c r="Z59" s="6">
        <f>'OEO-Other'!Y54</f>
        <v>0</v>
      </c>
      <c r="AA59" s="6">
        <f>'Transportation Fund'!Y55</f>
        <v>0</v>
      </c>
      <c r="AB59" s="6">
        <f>'Special Purpose '!E53</f>
        <v>0</v>
      </c>
      <c r="AD59" s="20"/>
      <c r="AE59" s="20"/>
      <c r="AF59" s="20"/>
      <c r="AG59" s="6">
        <f t="shared" ref="AG59:AG65" si="24">AE59+AF59</f>
        <v>0</v>
      </c>
      <c r="AH59" s="6">
        <f>'911'!H53</f>
        <v>0</v>
      </c>
      <c r="AI59" s="26">
        <f>B59+C59+D59+E59+F59+G59+K59+L59+M59+N59+Q59+R59+U59+X59+Y59+Z59+AA59+AB59+AD59+AG59+AH59</f>
        <v>26412.14</v>
      </c>
    </row>
    <row r="60" spans="1:35" x14ac:dyDescent="0.25">
      <c r="A60" s="4" t="s">
        <v>28</v>
      </c>
      <c r="B60" s="75"/>
      <c r="C60" s="75"/>
      <c r="D60" s="55"/>
      <c r="E60" s="55"/>
      <c r="F60" s="75"/>
      <c r="G60" s="108"/>
      <c r="I60" s="20">
        <v>35142.22</v>
      </c>
      <c r="J60" s="20"/>
      <c r="K60" s="19">
        <f t="shared" si="17"/>
        <v>35142.22</v>
      </c>
      <c r="L60" s="20">
        <v>47083.55</v>
      </c>
      <c r="M60" s="20"/>
      <c r="N60" s="75"/>
      <c r="O60" s="20">
        <v>17613.5</v>
      </c>
      <c r="P60" s="20">
        <v>-17613.5</v>
      </c>
      <c r="Q60" s="16">
        <f t="shared" si="21"/>
        <v>0</v>
      </c>
      <c r="R60" s="6">
        <f>CDBG!H39</f>
        <v>0</v>
      </c>
      <c r="S60" s="73"/>
      <c r="T60" s="20"/>
      <c r="U60" s="6">
        <f t="shared" si="22"/>
        <v>0</v>
      </c>
      <c r="V60" s="73"/>
      <c r="W60" s="20"/>
      <c r="X60" s="6">
        <f t="shared" si="23"/>
        <v>0</v>
      </c>
      <c r="Y60" s="6">
        <f>'OEO-Weatherization'!H55</f>
        <v>0</v>
      </c>
      <c r="Z60" s="6">
        <f>'OEO-Other'!Y55</f>
        <v>0</v>
      </c>
      <c r="AA60" s="6">
        <f>'Transportation Fund'!Y56</f>
        <v>0</v>
      </c>
      <c r="AB60" s="6">
        <f>'Special Purpose '!E54</f>
        <v>0</v>
      </c>
      <c r="AD60" s="20"/>
      <c r="AE60" s="20"/>
      <c r="AF60" s="20">
        <v>500352</v>
      </c>
      <c r="AG60" s="6">
        <f t="shared" si="24"/>
        <v>500352</v>
      </c>
      <c r="AH60" s="6">
        <f>'911'!H54</f>
        <v>0</v>
      </c>
      <c r="AI60" s="26">
        <f t="shared" ref="AI60:AI67" si="25">B60+C60+D60+E60+F60+G60+K60+L60+M60+N60+Q60+R60+U60+X60+Y60+Z60+AA60+AB60+AD60+AG60+AH60</f>
        <v>582577.77</v>
      </c>
    </row>
    <row r="61" spans="1:35" x14ac:dyDescent="0.25">
      <c r="A61" s="4" t="s">
        <v>29</v>
      </c>
      <c r="B61" s="75"/>
      <c r="C61" s="75"/>
      <c r="D61" s="55"/>
      <c r="E61" s="20">
        <v>9737</v>
      </c>
      <c r="F61" s="75"/>
      <c r="G61" s="75"/>
      <c r="I61" s="75"/>
      <c r="J61" s="20"/>
      <c r="K61" s="19">
        <f t="shared" si="17"/>
        <v>0</v>
      </c>
      <c r="L61" s="75"/>
      <c r="M61" s="75"/>
      <c r="N61" s="75"/>
      <c r="O61" s="75"/>
      <c r="P61" s="20"/>
      <c r="Q61" s="16">
        <f t="shared" si="21"/>
        <v>0</v>
      </c>
      <c r="R61" s="6">
        <f>CDBG!H40</f>
        <v>0</v>
      </c>
      <c r="S61" s="73"/>
      <c r="T61" s="20"/>
      <c r="U61" s="6">
        <f t="shared" si="22"/>
        <v>0</v>
      </c>
      <c r="V61" s="73"/>
      <c r="W61" s="20"/>
      <c r="X61" s="6">
        <f t="shared" si="23"/>
        <v>0</v>
      </c>
      <c r="Y61" s="6">
        <f>'OEO-Weatherization'!H56</f>
        <v>0</v>
      </c>
      <c r="Z61" s="6">
        <f>'OEO-Other'!Y56</f>
        <v>0</v>
      </c>
      <c r="AA61" s="6">
        <f>'Transportation Fund'!Y57</f>
        <v>0</v>
      </c>
      <c r="AB61" s="6">
        <f>'Special Purpose '!E55</f>
        <v>0</v>
      </c>
      <c r="AD61" s="20"/>
      <c r="AE61" s="20"/>
      <c r="AF61" s="20"/>
      <c r="AG61" s="6">
        <f t="shared" si="24"/>
        <v>0</v>
      </c>
      <c r="AH61" s="6">
        <f>'911'!H55</f>
        <v>2664663.85</v>
      </c>
      <c r="AI61" s="26">
        <f t="shared" si="25"/>
        <v>2674400.85</v>
      </c>
    </row>
    <row r="62" spans="1:35" x14ac:dyDescent="0.25">
      <c r="A62" s="4" t="s">
        <v>30</v>
      </c>
      <c r="B62" s="20">
        <v>388104.35</v>
      </c>
      <c r="C62" s="75"/>
      <c r="D62" s="188">
        <f>'Airport Funds'!I56</f>
        <v>652880.38</v>
      </c>
      <c r="E62" s="75"/>
      <c r="F62" s="75"/>
      <c r="G62" s="75"/>
      <c r="I62" s="75"/>
      <c r="J62" s="20"/>
      <c r="K62" s="19">
        <f t="shared" si="17"/>
        <v>0</v>
      </c>
      <c r="L62" s="75"/>
      <c r="M62" s="75"/>
      <c r="N62" s="75"/>
      <c r="O62" s="75"/>
      <c r="P62" s="20"/>
      <c r="Q62" s="16">
        <f t="shared" si="21"/>
        <v>0</v>
      </c>
      <c r="R62" s="6">
        <f>CDBG!H41</f>
        <v>0</v>
      </c>
      <c r="S62" s="73"/>
      <c r="T62" s="20"/>
      <c r="U62" s="6">
        <f t="shared" si="22"/>
        <v>0</v>
      </c>
      <c r="V62" s="73"/>
      <c r="W62" s="20"/>
      <c r="X62" s="6">
        <f t="shared" si="23"/>
        <v>0</v>
      </c>
      <c r="Y62" s="6">
        <f>'OEO-Weatherization'!H57</f>
        <v>0</v>
      </c>
      <c r="Z62" s="6">
        <f>'OEO-Other'!Y57</f>
        <v>0</v>
      </c>
      <c r="AA62" s="6">
        <v>0</v>
      </c>
      <c r="AB62" s="6">
        <f>'Special Purpose '!E56</f>
        <v>0</v>
      </c>
      <c r="AD62" s="20"/>
      <c r="AE62" s="20"/>
      <c r="AF62" s="20"/>
      <c r="AG62" s="6">
        <f t="shared" si="24"/>
        <v>0</v>
      </c>
      <c r="AH62" s="6">
        <f>'911'!H56</f>
        <v>0</v>
      </c>
      <c r="AI62" s="26">
        <f t="shared" si="25"/>
        <v>1040984.73</v>
      </c>
    </row>
    <row r="63" spans="1:35" x14ac:dyDescent="0.25">
      <c r="A63" s="4" t="s">
        <v>31</v>
      </c>
      <c r="B63" s="75"/>
      <c r="C63" s="20">
        <v>35794.03</v>
      </c>
      <c r="D63" s="55"/>
      <c r="E63" s="75"/>
      <c r="F63" s="75"/>
      <c r="G63" s="75"/>
      <c r="I63" s="75"/>
      <c r="J63" s="20"/>
      <c r="K63" s="19">
        <f t="shared" si="17"/>
        <v>0</v>
      </c>
      <c r="L63" s="75"/>
      <c r="M63" s="75"/>
      <c r="N63" s="75"/>
      <c r="O63" s="75"/>
      <c r="P63" s="20"/>
      <c r="Q63" s="16">
        <f t="shared" si="21"/>
        <v>0</v>
      </c>
      <c r="R63" s="6">
        <f>CDBG!H42</f>
        <v>0</v>
      </c>
      <c r="S63" s="46">
        <v>324243.37</v>
      </c>
      <c r="T63" s="20"/>
      <c r="U63" s="6">
        <f t="shared" si="22"/>
        <v>324243.37</v>
      </c>
      <c r="V63" s="46">
        <v>149774.03</v>
      </c>
      <c r="W63" s="20"/>
      <c r="X63" s="6">
        <f t="shared" si="23"/>
        <v>149774.03</v>
      </c>
      <c r="Y63" s="6">
        <f>'OEO-Weatherization'!H58</f>
        <v>19240.349999999999</v>
      </c>
      <c r="Z63" s="6">
        <f>'OEO-Other'!Y58</f>
        <v>1019490.1599999999</v>
      </c>
      <c r="AA63" s="6">
        <f>'Transportation Fund'!Y59</f>
        <v>1321076.2</v>
      </c>
      <c r="AB63" s="6">
        <f>'Special Purpose '!E57</f>
        <v>0</v>
      </c>
      <c r="AD63" s="20"/>
      <c r="AE63" s="20"/>
      <c r="AF63" s="20"/>
      <c r="AG63" s="6">
        <f t="shared" si="24"/>
        <v>0</v>
      </c>
      <c r="AH63" s="6">
        <f>'911'!H57</f>
        <v>0</v>
      </c>
      <c r="AI63" s="26">
        <f t="shared" si="25"/>
        <v>2869618.1399999997</v>
      </c>
    </row>
    <row r="64" spans="1:35" x14ac:dyDescent="0.25">
      <c r="A64" s="4" t="s">
        <v>63</v>
      </c>
      <c r="B64" s="75"/>
      <c r="C64" s="75"/>
      <c r="D64" s="55">
        <f>'Airport Funds'!I58</f>
        <v>4000</v>
      </c>
      <c r="E64" s="75"/>
      <c r="F64" s="20">
        <v>112225</v>
      </c>
      <c r="G64" s="75"/>
      <c r="I64" s="75"/>
      <c r="J64" s="20"/>
      <c r="K64" s="19">
        <f t="shared" si="17"/>
        <v>0</v>
      </c>
      <c r="L64" s="75"/>
      <c r="M64" s="75"/>
      <c r="N64" s="75"/>
      <c r="O64" s="75"/>
      <c r="P64" s="20"/>
      <c r="Q64" s="16">
        <f t="shared" si="21"/>
        <v>0</v>
      </c>
      <c r="R64" s="6">
        <f>CDBG!H43</f>
        <v>382984.68</v>
      </c>
      <c r="S64" s="73"/>
      <c r="T64" s="20"/>
      <c r="U64" s="6">
        <f t="shared" si="22"/>
        <v>0</v>
      </c>
      <c r="V64" s="73"/>
      <c r="W64" s="20"/>
      <c r="X64" s="6">
        <f t="shared" si="23"/>
        <v>0</v>
      </c>
      <c r="Y64" s="6">
        <f>'OEO-Weatherization'!H59</f>
        <v>0</v>
      </c>
      <c r="Z64" s="6">
        <f>'OEO-Other'!Y59</f>
        <v>0</v>
      </c>
      <c r="AA64" s="6">
        <f>'Transportation Fund'!Y60</f>
        <v>0</v>
      </c>
      <c r="AB64" s="6">
        <f>'Special Purpose '!E58</f>
        <v>0</v>
      </c>
      <c r="AD64" s="20"/>
      <c r="AE64" s="20"/>
      <c r="AF64" s="20"/>
      <c r="AG64" s="6">
        <f t="shared" si="24"/>
        <v>0</v>
      </c>
      <c r="AH64" s="6">
        <f>'911'!H58</f>
        <v>0</v>
      </c>
      <c r="AI64" s="26">
        <f t="shared" si="25"/>
        <v>499209.68</v>
      </c>
    </row>
    <row r="65" spans="1:35" x14ac:dyDescent="0.25">
      <c r="A65" s="2" t="s">
        <v>32</v>
      </c>
      <c r="B65" s="6">
        <f t="shared" ref="B65:G65" si="26">SUM(B59:B64)</f>
        <v>388104.35</v>
      </c>
      <c r="C65" s="6">
        <f t="shared" si="26"/>
        <v>35794.03</v>
      </c>
      <c r="D65" s="6">
        <f t="shared" si="26"/>
        <v>656880.38</v>
      </c>
      <c r="E65" s="17">
        <f t="shared" si="26"/>
        <v>9737</v>
      </c>
      <c r="F65" s="17">
        <f t="shared" si="26"/>
        <v>112225</v>
      </c>
      <c r="G65" s="17">
        <f t="shared" si="26"/>
        <v>4140.1000000000004</v>
      </c>
      <c r="I65" s="17">
        <f>SUM(I59:I64)</f>
        <v>35142.22</v>
      </c>
      <c r="J65" s="17">
        <f>SUM(J59:J64)</f>
        <v>0</v>
      </c>
      <c r="K65" s="19">
        <f t="shared" si="17"/>
        <v>35142.22</v>
      </c>
      <c r="L65" s="17">
        <f>SUM(L59:L64)</f>
        <v>47083.55</v>
      </c>
      <c r="M65" s="6">
        <f>SUM(M59:M64)</f>
        <v>0</v>
      </c>
      <c r="N65" s="6">
        <f>SUM(N59:N64)</f>
        <v>4658.54</v>
      </c>
      <c r="O65" s="6">
        <f>SUM(O59:O64)</f>
        <v>17613.5</v>
      </c>
      <c r="P65" s="6">
        <f>SUM(P59:P64)</f>
        <v>0</v>
      </c>
      <c r="Q65" s="16">
        <f t="shared" si="21"/>
        <v>17613.5</v>
      </c>
      <c r="R65" s="6">
        <f t="shared" ref="R65:W65" si="27">SUM(R59:R64)</f>
        <v>382984.68</v>
      </c>
      <c r="S65" s="43">
        <f t="shared" si="27"/>
        <v>324243.37</v>
      </c>
      <c r="T65" s="6">
        <f t="shared" si="27"/>
        <v>0</v>
      </c>
      <c r="U65" s="6">
        <f t="shared" si="27"/>
        <v>324243.37</v>
      </c>
      <c r="V65" s="43">
        <f t="shared" si="27"/>
        <v>149774.03</v>
      </c>
      <c r="W65" s="6">
        <f t="shared" si="27"/>
        <v>0</v>
      </c>
      <c r="X65" s="6">
        <f t="shared" si="23"/>
        <v>149774.03</v>
      </c>
      <c r="Y65" s="6">
        <f>'OEO-Weatherization'!H60</f>
        <v>19240.349999999999</v>
      </c>
      <c r="Z65" s="6">
        <f>'OEO-Other'!Y60</f>
        <v>1019490.1599999999</v>
      </c>
      <c r="AA65" s="6">
        <f>'Transportation Fund'!Y61</f>
        <v>1321076.2</v>
      </c>
      <c r="AB65" s="6">
        <f>'Special Purpose '!E59</f>
        <v>0</v>
      </c>
      <c r="AD65" s="6">
        <f>SUM(AD59:AD64)</f>
        <v>0</v>
      </c>
      <c r="AE65" s="6">
        <f>SUM(AE59:AE64)</f>
        <v>0</v>
      </c>
      <c r="AF65" s="6">
        <f>SUM(AF59:AF64)</f>
        <v>500352</v>
      </c>
      <c r="AG65" s="6">
        <f t="shared" si="24"/>
        <v>500352</v>
      </c>
      <c r="AH65" s="6">
        <f>'911'!H59</f>
        <v>2664663.85</v>
      </c>
      <c r="AI65" s="26">
        <f t="shared" si="25"/>
        <v>7693203.3100000005</v>
      </c>
    </row>
    <row r="66" spans="1:35" x14ac:dyDescent="0.25">
      <c r="K66" s="19">
        <f t="shared" si="17"/>
        <v>0</v>
      </c>
      <c r="Q66" s="16">
        <f t="shared" si="21"/>
        <v>0</v>
      </c>
      <c r="R66" s="6"/>
      <c r="T66" s="6"/>
      <c r="U66" s="6"/>
      <c r="W66" s="6"/>
      <c r="X66" s="6"/>
      <c r="Y66" s="6"/>
      <c r="Z66" s="6"/>
      <c r="AA66" s="6"/>
      <c r="AB66" s="6"/>
      <c r="AD66" s="6"/>
      <c r="AE66" s="6"/>
      <c r="AF66" s="6"/>
      <c r="AG66" s="6"/>
      <c r="AI66" s="26"/>
    </row>
    <row r="67" spans="1:35" x14ac:dyDescent="0.25">
      <c r="A67" s="2" t="s">
        <v>33</v>
      </c>
      <c r="B67" s="6">
        <f>B56-B65</f>
        <v>191058.70000000007</v>
      </c>
      <c r="C67" s="6">
        <f>C56-C65</f>
        <v>2845.0500000000029</v>
      </c>
      <c r="D67" s="17">
        <f>'Airport Funds'!I61</f>
        <v>52568.320000000036</v>
      </c>
      <c r="E67" s="17">
        <f>E56-E65</f>
        <v>19259.43</v>
      </c>
      <c r="F67" s="17">
        <f>F56-F65</f>
        <v>47087.180000000022</v>
      </c>
      <c r="G67" s="17">
        <f>G56-G65</f>
        <v>23356.550000000003</v>
      </c>
      <c r="I67" s="17">
        <f>I56-I65</f>
        <v>21489.049999999996</v>
      </c>
      <c r="J67" s="17">
        <f>J56-J65</f>
        <v>0</v>
      </c>
      <c r="K67" s="19">
        <f t="shared" si="17"/>
        <v>21489.049999999996</v>
      </c>
      <c r="L67" s="17">
        <f>L56-L65</f>
        <v>40735.699999999997</v>
      </c>
      <c r="M67" s="6">
        <f>M56-M65</f>
        <v>745.18</v>
      </c>
      <c r="N67" s="6">
        <f>N56-N65</f>
        <v>6517.53</v>
      </c>
      <c r="O67" s="6">
        <f>O56-O65</f>
        <v>-9504.92</v>
      </c>
      <c r="P67" s="6">
        <f>P56-P65</f>
        <v>0</v>
      </c>
      <c r="Q67" s="16">
        <f t="shared" si="21"/>
        <v>-9504.92</v>
      </c>
      <c r="R67" s="6">
        <f>CDBG!H46</f>
        <v>58255</v>
      </c>
      <c r="S67" s="43">
        <f>S56-S65</f>
        <v>13316.630000000005</v>
      </c>
      <c r="T67" s="6">
        <f>T56-T65</f>
        <v>0</v>
      </c>
      <c r="U67" s="6">
        <f>U56-U65</f>
        <v>13316.630000000005</v>
      </c>
      <c r="V67" s="43">
        <f>V56-V65</f>
        <v>9039.9200000000128</v>
      </c>
      <c r="W67" s="6">
        <f>W56-W65</f>
        <v>-81</v>
      </c>
      <c r="X67" s="6">
        <f>V67+W67</f>
        <v>8958.9200000000128</v>
      </c>
      <c r="Y67" s="6">
        <f>'OEO-Weatherization'!H62</f>
        <v>2530.0200000000004</v>
      </c>
      <c r="Z67" s="6">
        <f>'OEO-Other'!Y62</f>
        <v>-194898.35000000003</v>
      </c>
      <c r="AA67" s="6">
        <f>'Transportation Fund'!Y63</f>
        <v>4677.0300000000279</v>
      </c>
      <c r="AB67" s="6">
        <f>'Special Purpose '!E61</f>
        <v>12059.519999999999</v>
      </c>
      <c r="AD67" s="6">
        <f>AD56-AD65</f>
        <v>475.58</v>
      </c>
      <c r="AE67" s="6">
        <f>AE56-AE65</f>
        <v>454609.07999999996</v>
      </c>
      <c r="AF67" s="6">
        <f>AF56-AF65</f>
        <v>-492982</v>
      </c>
      <c r="AG67" s="6">
        <f>AE67+AF67</f>
        <v>-38372.920000000042</v>
      </c>
      <c r="AH67" s="6">
        <f>'911'!H61</f>
        <v>61954.939999999478</v>
      </c>
      <c r="AI67" s="26">
        <f t="shared" si="25"/>
        <v>325114.13999999966</v>
      </c>
    </row>
    <row r="68" spans="1:35" x14ac:dyDescent="0.25">
      <c r="K68" s="19">
        <f t="shared" si="17"/>
        <v>0</v>
      </c>
      <c r="Q68" s="16">
        <f t="shared" si="21"/>
        <v>0</v>
      </c>
      <c r="R68" s="6"/>
      <c r="T68" s="6"/>
      <c r="U68" s="6"/>
      <c r="W68" s="6"/>
      <c r="X68" s="6"/>
      <c r="Y68" s="6"/>
      <c r="Z68" s="6"/>
      <c r="AA68" s="6"/>
      <c r="AB68" s="6"/>
      <c r="AD68" s="6"/>
      <c r="AE68" s="6"/>
      <c r="AF68" s="6"/>
      <c r="AG68" s="6"/>
      <c r="AI68" s="26"/>
    </row>
    <row r="69" spans="1:35" x14ac:dyDescent="0.25">
      <c r="A69" t="s">
        <v>300</v>
      </c>
      <c r="B69" s="20"/>
      <c r="C69" s="20"/>
      <c r="D69" s="17">
        <f>'Airport Funds'!I63</f>
        <v>0</v>
      </c>
      <c r="E69" s="20"/>
      <c r="F69" s="20"/>
      <c r="G69" s="20"/>
      <c r="I69" s="20"/>
      <c r="J69" s="20"/>
      <c r="K69" s="19">
        <f t="shared" si="17"/>
        <v>0</v>
      </c>
      <c r="L69" s="20"/>
      <c r="M69" s="20"/>
      <c r="N69" s="20"/>
      <c r="O69" s="20"/>
      <c r="P69" s="20"/>
      <c r="Q69" s="16">
        <f t="shared" si="21"/>
        <v>0</v>
      </c>
      <c r="R69" s="6">
        <f>CDBG!H48</f>
        <v>0</v>
      </c>
      <c r="S69" s="46"/>
      <c r="T69" s="20"/>
      <c r="U69" s="6">
        <f>S69+T69</f>
        <v>0</v>
      </c>
      <c r="V69" s="46"/>
      <c r="W69" s="20"/>
      <c r="X69" s="6">
        <f>V69+W69</f>
        <v>0</v>
      </c>
      <c r="Y69" s="6">
        <f>'OEO-Weatherization'!H64</f>
        <v>0</v>
      </c>
      <c r="Z69" s="6">
        <f>'OEO-Other'!Y64</f>
        <v>0</v>
      </c>
      <c r="AA69" s="6">
        <f>'Transportation Fund'!Y65</f>
        <v>0</v>
      </c>
      <c r="AB69" s="6">
        <f>'Special Purpose '!E63</f>
        <v>0</v>
      </c>
      <c r="AD69" s="20"/>
      <c r="AE69" s="20"/>
      <c r="AF69" s="38"/>
      <c r="AG69" s="25">
        <f>AE69+AF69</f>
        <v>0</v>
      </c>
      <c r="AH69" s="6">
        <f>'911'!H63</f>
        <v>0</v>
      </c>
      <c r="AI69" s="26">
        <f>B69+C69+D69+E69+F69+G69+K69+L69+M69+N69+Q69+R69+U69+X69+Y69+Z69+AA69+AB69+AD69+AG69+AH69</f>
        <v>0</v>
      </c>
    </row>
    <row r="70" spans="1:35" x14ac:dyDescent="0.25">
      <c r="A70" t="s">
        <v>34</v>
      </c>
      <c r="B70" s="20"/>
      <c r="C70" s="20"/>
      <c r="D70" s="17">
        <f>'Airport Funds'!I64</f>
        <v>15891.29</v>
      </c>
      <c r="E70" s="20"/>
      <c r="F70" s="20"/>
      <c r="G70" s="20"/>
      <c r="I70" s="20"/>
      <c r="J70" s="20"/>
      <c r="K70" s="19">
        <f t="shared" si="17"/>
        <v>0</v>
      </c>
      <c r="L70" s="20"/>
      <c r="M70" s="20"/>
      <c r="N70" s="20"/>
      <c r="O70" s="20"/>
      <c r="P70" s="20"/>
      <c r="Q70" s="16">
        <f t="shared" si="21"/>
        <v>0</v>
      </c>
      <c r="R70" s="6">
        <f>CDBG!H49</f>
        <v>0</v>
      </c>
      <c r="S70" s="46"/>
      <c r="T70" s="20"/>
      <c r="U70" s="6">
        <f>S70+T70</f>
        <v>0</v>
      </c>
      <c r="V70" s="46"/>
      <c r="W70" s="20"/>
      <c r="X70" s="6">
        <f>V70+W70</f>
        <v>0</v>
      </c>
      <c r="Y70" s="6">
        <f>'OEO-Weatherization'!H65</f>
        <v>0</v>
      </c>
      <c r="Z70" s="6">
        <f>'OEO-Other'!Y65</f>
        <v>263542</v>
      </c>
      <c r="AA70" s="6">
        <f>'Transportation Fund'!Y66</f>
        <v>0</v>
      </c>
      <c r="AB70" s="6">
        <f>'Special Purpose '!E64</f>
        <v>0</v>
      </c>
      <c r="AD70" s="20"/>
      <c r="AE70" s="20"/>
      <c r="AF70" s="38">
        <v>157353</v>
      </c>
      <c r="AG70" s="25">
        <f>AE70+AF70</f>
        <v>157353</v>
      </c>
      <c r="AH70" s="6">
        <f>'911'!H64</f>
        <v>2726610.12</v>
      </c>
      <c r="AI70" s="26">
        <f>B70+C70+D70+E70+F70+G70+K70+L70+M70+N70+Q70+R70+U70+X70+Y70+Z70+AA70+AB70+AD70+AG70+AH70</f>
        <v>3163396.41</v>
      </c>
    </row>
    <row r="71" spans="1:35" x14ac:dyDescent="0.25">
      <c r="A71" t="s">
        <v>35</v>
      </c>
      <c r="B71" s="20"/>
      <c r="C71" s="20"/>
      <c r="D71" s="17">
        <f>'Airport Funds'!I65</f>
        <v>15891.29</v>
      </c>
      <c r="E71" s="20"/>
      <c r="F71" s="20"/>
      <c r="G71" s="20"/>
      <c r="I71" s="20"/>
      <c r="J71" s="20"/>
      <c r="K71" s="19">
        <f t="shared" si="17"/>
        <v>0</v>
      </c>
      <c r="L71" s="20"/>
      <c r="M71" s="20"/>
      <c r="N71" s="20"/>
      <c r="O71" s="20"/>
      <c r="P71" s="20"/>
      <c r="Q71" s="16">
        <f t="shared" si="21"/>
        <v>0</v>
      </c>
      <c r="R71" s="6">
        <f>CDBG!H50</f>
        <v>0</v>
      </c>
      <c r="S71" s="46">
        <v>13320.2</v>
      </c>
      <c r="T71" s="20"/>
      <c r="U71" s="6">
        <f>S71+T71</f>
        <v>13320.2</v>
      </c>
      <c r="V71" s="46">
        <v>8957.64</v>
      </c>
      <c r="W71" s="20"/>
      <c r="X71" s="6">
        <f>V71+W71</f>
        <v>8957.64</v>
      </c>
      <c r="Y71" s="6">
        <f>'OEO-Weatherization'!H66</f>
        <v>2530.02</v>
      </c>
      <c r="Z71" s="6">
        <f>'OEO-Other'!Y66</f>
        <v>72823.25</v>
      </c>
      <c r="AA71" s="6">
        <f>'Transportation Fund'!Y67</f>
        <v>4677.03</v>
      </c>
      <c r="AB71" s="6">
        <f>'Special Purpose '!E65</f>
        <v>0</v>
      </c>
      <c r="AD71" s="20"/>
      <c r="AE71" s="20">
        <v>335688.51</v>
      </c>
      <c r="AF71" s="38">
        <f>-335689+60</f>
        <v>-335629</v>
      </c>
      <c r="AG71" s="25">
        <f>AE71+AF71</f>
        <v>59.510000000009313</v>
      </c>
      <c r="AH71" s="6">
        <f>'911'!H65</f>
        <v>2726610.12</v>
      </c>
      <c r="AI71" s="26">
        <f>B71+C71+D71+E71+F71+G71+K71+L71+M71+N71+Q71+R71+U71+X71+Y71+Z71+AA71+AB71+AD71+AG71+AH71</f>
        <v>2844869.06</v>
      </c>
    </row>
    <row r="72" spans="1:35" ht="15" customHeight="1" x14ac:dyDescent="0.25">
      <c r="A72" s="2" t="s">
        <v>36</v>
      </c>
      <c r="B72" s="6">
        <f>B70-B71</f>
        <v>0</v>
      </c>
      <c r="C72" s="6">
        <f>C70-C71</f>
        <v>0</v>
      </c>
      <c r="D72" s="17">
        <f>'Airport Funds'!I66</f>
        <v>0</v>
      </c>
      <c r="E72" s="17">
        <f>E70-E71</f>
        <v>0</v>
      </c>
      <c r="F72" s="17">
        <f>F70-F71</f>
        <v>0</v>
      </c>
      <c r="G72" s="17">
        <f>G70-G71</f>
        <v>0</v>
      </c>
      <c r="I72" s="17">
        <f>I70-I71</f>
        <v>0</v>
      </c>
      <c r="J72" s="17">
        <f>J70-J71</f>
        <v>0</v>
      </c>
      <c r="K72" s="19">
        <f t="shared" si="17"/>
        <v>0</v>
      </c>
      <c r="L72" s="17">
        <f>L70-L71</f>
        <v>0</v>
      </c>
      <c r="M72" s="6">
        <f>M70-M71</f>
        <v>0</v>
      </c>
      <c r="N72" s="6">
        <f>N70-N71</f>
        <v>0</v>
      </c>
      <c r="O72" s="6">
        <f>O70-O71</f>
        <v>0</v>
      </c>
      <c r="P72" s="6">
        <f>P70-P71</f>
        <v>0</v>
      </c>
      <c r="Q72" s="16">
        <f t="shared" si="21"/>
        <v>0</v>
      </c>
      <c r="R72" s="6">
        <f>CDBG!H51</f>
        <v>0</v>
      </c>
      <c r="S72" s="43">
        <f>S70-S71</f>
        <v>-13320.2</v>
      </c>
      <c r="T72" s="6">
        <f>T70-T71</f>
        <v>0</v>
      </c>
      <c r="U72" s="6">
        <f>S72+T72</f>
        <v>-13320.2</v>
      </c>
      <c r="V72" s="43">
        <f>V70-V71</f>
        <v>-8957.64</v>
      </c>
      <c r="W72" s="6">
        <f>W70-W71</f>
        <v>0</v>
      </c>
      <c r="X72" s="6">
        <f>V72+W72</f>
        <v>-8957.64</v>
      </c>
      <c r="Y72" s="6">
        <f>'OEO-Weatherization'!H67</f>
        <v>-2530.02</v>
      </c>
      <c r="Z72" s="6">
        <f>'OEO-Other'!Y67</f>
        <v>190718.75</v>
      </c>
      <c r="AA72" s="6">
        <f>'Transportation Fund'!Y68</f>
        <v>-4677.03</v>
      </c>
      <c r="AB72" s="6">
        <f>'Special Purpose '!E66</f>
        <v>0</v>
      </c>
      <c r="AD72" s="6">
        <f>AD70-AD71</f>
        <v>0</v>
      </c>
      <c r="AE72" s="6">
        <f>AE70-AE71</f>
        <v>-335688.51</v>
      </c>
      <c r="AF72" s="6">
        <f>AF69+AF70-AF71</f>
        <v>492982</v>
      </c>
      <c r="AG72" s="6">
        <f>AE72+AF72</f>
        <v>157293.49</v>
      </c>
      <c r="AH72" s="6">
        <f>'911'!H66</f>
        <v>0</v>
      </c>
      <c r="AI72" s="26">
        <f>B72+C72+D72+E72+F72+G72+K72+L72+M72+N72+Q72+R72+U72+X72+Y72+Z72+AA72+AB72+AD72+AG72+AH72</f>
        <v>318527.34999999998</v>
      </c>
    </row>
    <row r="73" spans="1:35" x14ac:dyDescent="0.25">
      <c r="K73" s="19"/>
      <c r="Q73" s="16"/>
      <c r="R73" s="6"/>
      <c r="T73" s="6"/>
      <c r="U73" s="6"/>
      <c r="W73" s="6"/>
      <c r="X73" s="6"/>
      <c r="Y73" s="6"/>
      <c r="Z73" s="6"/>
      <c r="AA73" s="6"/>
      <c r="AB73" s="6"/>
      <c r="AD73" s="6"/>
      <c r="AE73" s="6"/>
      <c r="AF73" s="6"/>
      <c r="AG73" s="6"/>
      <c r="AI73" s="26"/>
    </row>
    <row r="74" spans="1:35" x14ac:dyDescent="0.25">
      <c r="A74" s="2" t="s">
        <v>37</v>
      </c>
      <c r="B74" s="6">
        <f>B67+B72</f>
        <v>191058.70000000007</v>
      </c>
      <c r="C74" s="6">
        <f>C67+C72</f>
        <v>2845.0500000000029</v>
      </c>
      <c r="D74" s="17">
        <f>'Airport Funds'!I68</f>
        <v>52568.320000000036</v>
      </c>
      <c r="E74" s="17">
        <f>E67+E72</f>
        <v>19259.43</v>
      </c>
      <c r="F74" s="17">
        <f>F67+F72</f>
        <v>47087.180000000022</v>
      </c>
      <c r="G74" s="17">
        <f>G67+G72</f>
        <v>23356.550000000003</v>
      </c>
      <c r="I74" s="17">
        <f>I67+I72</f>
        <v>21489.049999999996</v>
      </c>
      <c r="J74" s="17">
        <f>J67+J72</f>
        <v>0</v>
      </c>
      <c r="K74" s="19">
        <f>SUM(I74:J74)</f>
        <v>21489.049999999996</v>
      </c>
      <c r="L74" s="17">
        <f>L67+L72</f>
        <v>40735.699999999997</v>
      </c>
      <c r="M74" s="6">
        <f>M67+M72</f>
        <v>745.18</v>
      </c>
      <c r="N74" s="6">
        <f>N67+N72</f>
        <v>6517.53</v>
      </c>
      <c r="O74" s="6">
        <f>O67+O72</f>
        <v>-9504.92</v>
      </c>
      <c r="P74" s="6">
        <f>P67+P72</f>
        <v>0</v>
      </c>
      <c r="Q74" s="16">
        <f>SUM(O74:P74)</f>
        <v>-9504.92</v>
      </c>
      <c r="R74" s="6">
        <f>CDBG!H53</f>
        <v>58255</v>
      </c>
      <c r="S74" s="43">
        <f t="shared" ref="S74:X74" si="28">S67+S72</f>
        <v>-3.569999999996071</v>
      </c>
      <c r="T74" s="6">
        <f t="shared" si="28"/>
        <v>0</v>
      </c>
      <c r="U74" s="6">
        <f t="shared" si="28"/>
        <v>-3.569999999996071</v>
      </c>
      <c r="V74" s="43">
        <f t="shared" si="28"/>
        <v>82.280000000013388</v>
      </c>
      <c r="W74" s="6">
        <f t="shared" si="28"/>
        <v>-81</v>
      </c>
      <c r="X74" s="6">
        <f t="shared" si="28"/>
        <v>1.2800000000133878</v>
      </c>
      <c r="Y74" s="6">
        <f>'OEO-Weatherization'!H69</f>
        <v>0</v>
      </c>
      <c r="Z74" s="6">
        <f>'OEO-Other'!Y69</f>
        <v>-4179.6000000000349</v>
      </c>
      <c r="AA74" s="6">
        <f>'Transportation Fund'!Y70</f>
        <v>2.8194335754960775E-11</v>
      </c>
      <c r="AB74" s="6">
        <f>'Special Purpose '!E68</f>
        <v>12059.519999999999</v>
      </c>
      <c r="AD74" s="6">
        <f>AD67+AD72</f>
        <v>475.58</v>
      </c>
      <c r="AE74" s="6">
        <f>AE67+AE72</f>
        <v>118920.56999999995</v>
      </c>
      <c r="AF74" s="6">
        <f>AF67+AF72</f>
        <v>0</v>
      </c>
      <c r="AG74" s="6">
        <f>AG67+AG72</f>
        <v>118920.56999999995</v>
      </c>
      <c r="AH74" s="6">
        <f>'911'!H68</f>
        <v>61954.939999999944</v>
      </c>
      <c r="AI74" s="26">
        <f>B74+C74+D74+E74+F74+G74+K74+L74+M74+N74+Q74+R74+U74+X74+Y74+Z74+AA74+AB74+AD74+AG74+AH74</f>
        <v>643641.49000000011</v>
      </c>
    </row>
    <row r="75" spans="1:35" x14ac:dyDescent="0.25">
      <c r="A75" t="s">
        <v>38</v>
      </c>
      <c r="B75" s="6">
        <f>B76-B74</f>
        <v>1199595.3399999999</v>
      </c>
      <c r="C75" s="6">
        <f>C76-C74</f>
        <v>21790.519999999997</v>
      </c>
      <c r="D75" s="17">
        <f>'Airport Funds'!I69</f>
        <v>8688.4699999999502</v>
      </c>
      <c r="E75" s="17">
        <f>E76-E74</f>
        <v>66855.799999999988</v>
      </c>
      <c r="F75" s="17">
        <f>F76-F74</f>
        <v>292279.27</v>
      </c>
      <c r="G75" s="17">
        <f>G76-G74</f>
        <v>19769.519999999997</v>
      </c>
      <c r="I75" s="17">
        <f>I76-I74</f>
        <v>289819.26</v>
      </c>
      <c r="J75" s="17">
        <f>J76-J74</f>
        <v>0</v>
      </c>
      <c r="K75" s="19">
        <f>SUM(I75:J75)</f>
        <v>289819.26</v>
      </c>
      <c r="L75" s="17">
        <f>L76-L74</f>
        <v>445107.67</v>
      </c>
      <c r="M75" s="6">
        <f>M76-M74</f>
        <v>8576.7799999999988</v>
      </c>
      <c r="N75" s="6">
        <f>N76-N74</f>
        <v>28363.919999999998</v>
      </c>
      <c r="O75" s="6">
        <f>O76-O74</f>
        <v>27947.519999999997</v>
      </c>
      <c r="P75" s="6">
        <f>P76-P74</f>
        <v>0</v>
      </c>
      <c r="Q75" s="16">
        <f>SUM(O75:P75)</f>
        <v>27947.519999999997</v>
      </c>
      <c r="R75" s="6">
        <f>CDBG!H54</f>
        <v>-0.14999999999764668</v>
      </c>
      <c r="S75" s="43">
        <f t="shared" ref="S75:X75" si="29">S76-S74</f>
        <v>5.9999999996071196E-2</v>
      </c>
      <c r="T75" s="6">
        <f t="shared" si="29"/>
        <v>0</v>
      </c>
      <c r="U75" s="6">
        <f t="shared" si="29"/>
        <v>5.9999999996071196E-2</v>
      </c>
      <c r="V75" s="43">
        <f t="shared" si="29"/>
        <v>-1.09000000001339</v>
      </c>
      <c r="W75" s="6">
        <f t="shared" si="29"/>
        <v>0</v>
      </c>
      <c r="X75" s="6">
        <f t="shared" si="29"/>
        <v>-1.09000000001339</v>
      </c>
      <c r="Y75" s="6">
        <f>'OEO-Weatherization'!H70</f>
        <v>-0.3</v>
      </c>
      <c r="Z75" s="6">
        <f>'OEO-Other'!Y70</f>
        <v>17366.860000000037</v>
      </c>
      <c r="AA75" s="6">
        <f>'Transportation Fund'!Y71</f>
        <v>-0.12000000002819433</v>
      </c>
      <c r="AB75" s="6">
        <f>'Special Purpose '!E69</f>
        <v>164824.82</v>
      </c>
      <c r="AD75" s="6">
        <f>AD76-AD74</f>
        <v>10785.43</v>
      </c>
      <c r="AE75" s="6">
        <f>AE76-AE74</f>
        <v>753682.67</v>
      </c>
      <c r="AF75" s="6">
        <f>AF76-AF74</f>
        <v>0</v>
      </c>
      <c r="AG75" s="6">
        <f>AG76-AG74</f>
        <v>753682.67</v>
      </c>
      <c r="AH75" s="6">
        <f>'911'!H69</f>
        <v>26692.570000000051</v>
      </c>
      <c r="AI75" s="26">
        <f>B75+C75+D75+E75+F75+G75+K75+L75+M75+N75+Q75+R75+U75+X75+Y75+Z75+AA75+AB75+AD75+AG75+AH75</f>
        <v>3382144.82</v>
      </c>
    </row>
    <row r="76" spans="1:35" x14ac:dyDescent="0.25">
      <c r="A76" s="2" t="s">
        <v>39</v>
      </c>
      <c r="B76" s="6">
        <f>B46</f>
        <v>1390654.04</v>
      </c>
      <c r="C76" s="6">
        <f>C46</f>
        <v>24635.57</v>
      </c>
      <c r="D76" s="17">
        <f>'Airport Funds'!I70</f>
        <v>61256.789999999986</v>
      </c>
      <c r="E76" s="17">
        <f>E46</f>
        <v>86115.23</v>
      </c>
      <c r="F76" s="17">
        <f>F46</f>
        <v>339366.45</v>
      </c>
      <c r="G76" s="17">
        <f>G46</f>
        <v>43126.07</v>
      </c>
      <c r="I76" s="17">
        <f>I46</f>
        <v>311308.31</v>
      </c>
      <c r="J76" s="17">
        <f>J46</f>
        <v>0</v>
      </c>
      <c r="K76" s="19">
        <f>SUM(I76:J76)</f>
        <v>311308.31</v>
      </c>
      <c r="L76" s="17">
        <f>L46</f>
        <v>485843.37</v>
      </c>
      <c r="M76" s="6">
        <f>M46</f>
        <v>9321.9599999999991</v>
      </c>
      <c r="N76" s="6">
        <f>N46</f>
        <v>34881.449999999997</v>
      </c>
      <c r="O76" s="6">
        <f>O46</f>
        <v>18442.599999999999</v>
      </c>
      <c r="P76" s="6">
        <f>P46</f>
        <v>0</v>
      </c>
      <c r="Q76" s="16">
        <f>SUM(O76:P76)</f>
        <v>18442.599999999999</v>
      </c>
      <c r="R76" s="6">
        <f>CDBG!H55</f>
        <v>58254.850000000006</v>
      </c>
      <c r="S76" s="43">
        <f t="shared" ref="S76:X76" si="30">S46</f>
        <v>-3.51</v>
      </c>
      <c r="T76" s="6">
        <f t="shared" si="30"/>
        <v>0</v>
      </c>
      <c r="U76" s="6">
        <f t="shared" si="30"/>
        <v>-3.51</v>
      </c>
      <c r="V76" s="43">
        <f t="shared" si="30"/>
        <v>81.19</v>
      </c>
      <c r="W76" s="6">
        <f t="shared" si="30"/>
        <v>-81</v>
      </c>
      <c r="X76" s="6">
        <f t="shared" si="30"/>
        <v>0.18999999999999773</v>
      </c>
      <c r="Y76" s="6">
        <f>'OEO-Weatherization'!H71</f>
        <v>-0.3</v>
      </c>
      <c r="Z76" s="6">
        <f>'OEO-Other'!Y71</f>
        <v>13187.26</v>
      </c>
      <c r="AA76" s="6">
        <f>'Transportation Fund'!Y72</f>
        <v>-0.12</v>
      </c>
      <c r="AB76" s="6">
        <f>'Special Purpose '!E70</f>
        <v>176884.34</v>
      </c>
      <c r="AD76" s="6">
        <f>AD46</f>
        <v>11261.01</v>
      </c>
      <c r="AE76" s="6">
        <f>AE46</f>
        <v>872603.24</v>
      </c>
      <c r="AF76" s="6">
        <f>AF46</f>
        <v>0</v>
      </c>
      <c r="AG76" s="6">
        <f>AG46</f>
        <v>872603.24</v>
      </c>
      <c r="AH76" s="6">
        <f>'911'!H70</f>
        <v>88647.51</v>
      </c>
      <c r="AI76" s="26">
        <f>B76+C76+D76+E76+F76+G76+K76+L76+M76+N76+Q76+R76+U76+X76+Y76+Z76+AA76+AB76+AD76+AG76+AH76</f>
        <v>4025786.3099999996</v>
      </c>
    </row>
  </sheetData>
  <customSheetViews>
    <customSheetView guid="{E68B3865-8D72-47E7-BE32-0FF7EB09E889}" scale="93" fitToPage="1">
      <pane xSplit="1" ySplit="6" topLeftCell="R55" activePane="bottomRight" state="frozen"/>
      <selection pane="bottomRight" activeCell="AF72" sqref="AF72"/>
      <pageMargins left="0.25" right="0.38" top="0.75" bottom="0.75" header="0.3" footer="0.3"/>
      <pageSetup scale="43" fitToWidth="2" orientation="landscape" r:id="rId1"/>
    </customSheetView>
    <customSheetView guid="{DE6E911D-85BF-467A-AA00-1E84C5349CF7}" scale="93" fitToPage="1">
      <pane xSplit="1" ySplit="6" topLeftCell="R55" activePane="bottomRight" state="frozen"/>
      <selection pane="bottomRight" activeCell="AF72" sqref="AF72"/>
      <pageMargins left="0.25" right="0.38" top="0.75" bottom="0.75" header="0.3" footer="0.3"/>
      <pageSetup scale="43" fitToWidth="2" orientation="landscape" r:id="rId2"/>
    </customSheetView>
    <customSheetView guid="{A6F79E61-D6A3-44FD-B4A4-4724DF74349B}" showPageBreaks="1" fitToPage="1">
      <pane xSplit="1" ySplit="6" topLeftCell="S34" activePane="bottomRight" state="frozen"/>
      <selection pane="bottomRight" activeCell="AL48" sqref="AL48"/>
      <pageMargins left="0.25" right="0.38" top="0.75" bottom="0.75" header="0.3" footer="0.3"/>
      <pageSetup scale="45" fitToWidth="2" orientation="landscape" horizontalDpi="1200" r:id="rId3"/>
    </customSheetView>
    <customSheetView guid="{D62C3EC3-27D1-41F3-9A4E-06307CA202CE}" showPageBreaks="1" fitToPage="1" showRuler="0">
      <pane xSplit="1" ySplit="6" topLeftCell="Z7" activePane="bottomRight" state="frozen"/>
      <selection pane="bottomRight" activeCell="AC18" sqref="AC18"/>
      <pageMargins left="0.25" right="0.38" top="0.75" bottom="0.75" header="0.3" footer="0.3"/>
      <pageSetup scale="59" fitToWidth="2" orientation="landscape" horizontalDpi="1200" r:id="rId4"/>
      <headerFooter alignWithMargins="0"/>
    </customSheetView>
    <customSheetView guid="{EC03C3C8-7E57-47C6-8413-F484E8C46A0C}" showPageBreaks="1" fitToPage="1">
      <pane xSplit="1" ySplit="6" topLeftCell="X48" activePane="bottomRight" state="frozen"/>
      <selection pane="bottomRight" activeCell="V53" sqref="V53:W53"/>
      <pageMargins left="0.25" right="0.38" top="0.75" bottom="0.75" header="0.3" footer="0.3"/>
      <pageSetup scale="51" fitToWidth="2" orientation="landscape" horizontalDpi="1200" r:id="rId5"/>
    </customSheetView>
    <customSheetView guid="{2B2709E2-6DF4-4CC4-88D0-056FB306137C}" showPageBreaks="1" fitToPage="1">
      <pane xSplit="1" ySplit="6" topLeftCell="U34" activePane="bottomRight" state="frozen"/>
      <selection pane="bottomRight" activeCell="AE49" sqref="AE49"/>
      <pageMargins left="0.25" right="0.38" top="0.75" bottom="0.75" header="0.3" footer="0.3"/>
      <pageSetup scale="45" fitToWidth="2" orientation="landscape" horizontalDpi="1200" r:id="rId6"/>
    </customSheetView>
  </customSheetViews>
  <phoneticPr fontId="0" type="noConversion"/>
  <pageMargins left="0.25" right="0.38" top="0.75" bottom="0.75" header="0.3" footer="0.3"/>
  <pageSetup scale="43" fitToWidth="2" orientation="landscape"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8"/>
  <sheetViews>
    <sheetView topLeftCell="A4" zoomScaleNormal="100" workbookViewId="0">
      <selection activeCell="C14" sqref="C14"/>
    </sheetView>
  </sheetViews>
  <sheetFormatPr defaultRowHeight="15" outlineLevelCol="1" x14ac:dyDescent="0.25"/>
  <cols>
    <col min="1" max="1" width="31" customWidth="1"/>
    <col min="2" max="2" width="13.7109375" style="6" customWidth="1" outlineLevel="1"/>
    <col min="3" max="3" width="12.7109375" style="6" customWidth="1" outlineLevel="1"/>
    <col min="4" max="4" width="13.5703125" style="6" bestFit="1" customWidth="1"/>
    <col min="5" max="5" width="11.85546875" style="6" bestFit="1" customWidth="1"/>
    <col min="6" max="6" width="13.5703125" style="6" bestFit="1" customWidth="1"/>
    <col min="7" max="8" width="11.85546875" style="6" customWidth="1"/>
    <col min="9" max="9" width="14" style="6" customWidth="1"/>
    <col min="10" max="11" width="11.140625" style="6" bestFit="1" customWidth="1"/>
    <col min="12" max="12" width="9.140625" style="6"/>
    <col min="13" max="13" width="13.5703125" style="6" bestFit="1" customWidth="1"/>
    <col min="14" max="14" width="12.7109375" bestFit="1" customWidth="1"/>
  </cols>
  <sheetData>
    <row r="1" spans="1:13" ht="23.25" x14ac:dyDescent="0.35">
      <c r="A1" s="5" t="s">
        <v>252</v>
      </c>
    </row>
    <row r="2" spans="1:13" x14ac:dyDescent="0.25">
      <c r="A2" t="s">
        <v>1</v>
      </c>
    </row>
    <row r="3" spans="1:13" x14ac:dyDescent="0.25">
      <c r="A3" s="1">
        <f>'ALL GOVERNMENT FUNDS'!A3</f>
        <v>43830</v>
      </c>
    </row>
    <row r="4" spans="1:13" x14ac:dyDescent="0.25">
      <c r="A4" s="1"/>
    </row>
    <row r="5" spans="1:13" ht="30" x14ac:dyDescent="0.25">
      <c r="A5" s="1"/>
      <c r="B5" s="7" t="s">
        <v>279</v>
      </c>
      <c r="C5" s="7" t="s">
        <v>47</v>
      </c>
      <c r="D5" s="7" t="s">
        <v>278</v>
      </c>
      <c r="E5" s="7" t="s">
        <v>277</v>
      </c>
      <c r="F5" s="18" t="s">
        <v>276</v>
      </c>
      <c r="G5" s="7"/>
      <c r="H5" s="7"/>
      <c r="I5" s="7"/>
      <c r="J5" s="7"/>
      <c r="K5" s="7"/>
      <c r="L5" s="7"/>
      <c r="M5" s="7"/>
    </row>
    <row r="6" spans="1:13" x14ac:dyDescent="0.25">
      <c r="F6" s="17"/>
    </row>
    <row r="7" spans="1:13" x14ac:dyDescent="0.25">
      <c r="A7" s="3" t="s">
        <v>2</v>
      </c>
      <c r="F7" s="17"/>
    </row>
    <row r="8" spans="1:13" x14ac:dyDescent="0.25">
      <c r="A8" s="4" t="s">
        <v>3</v>
      </c>
      <c r="B8" s="20">
        <v>443570.84</v>
      </c>
      <c r="C8" s="20"/>
      <c r="D8" s="6">
        <f t="shared" ref="D8:D13" si="0">B8+C8</f>
        <v>443570.84</v>
      </c>
      <c r="E8" s="20">
        <v>0</v>
      </c>
      <c r="F8" s="17">
        <f t="shared" ref="F8:F14" si="1">D8+E8</f>
        <v>443570.84</v>
      </c>
      <c r="G8" s="49"/>
    </row>
    <row r="9" spans="1:13" x14ac:dyDescent="0.25">
      <c r="A9" s="4" t="s">
        <v>189</v>
      </c>
      <c r="B9" s="20"/>
      <c r="C9" s="20"/>
      <c r="D9" s="6">
        <f t="shared" si="0"/>
        <v>0</v>
      </c>
      <c r="E9" s="20"/>
      <c r="F9" s="17">
        <f t="shared" si="1"/>
        <v>0</v>
      </c>
    </row>
    <row r="10" spans="1:13" x14ac:dyDescent="0.25">
      <c r="A10" s="4" t="s">
        <v>4</v>
      </c>
      <c r="B10" s="20">
        <v>480.84</v>
      </c>
      <c r="C10" s="20"/>
      <c r="D10" s="6">
        <f t="shared" si="0"/>
        <v>480.84</v>
      </c>
      <c r="E10" s="20"/>
      <c r="F10" s="17">
        <f t="shared" si="1"/>
        <v>480.84</v>
      </c>
    </row>
    <row r="11" spans="1:13" x14ac:dyDescent="0.25">
      <c r="A11" s="4" t="s">
        <v>6</v>
      </c>
      <c r="B11" s="20"/>
      <c r="C11" s="20">
        <v>15859.98</v>
      </c>
      <c r="D11" s="6">
        <f t="shared" si="0"/>
        <v>15859.98</v>
      </c>
      <c r="E11" s="20"/>
      <c r="F11" s="17">
        <f t="shared" si="1"/>
        <v>15859.98</v>
      </c>
    </row>
    <row r="12" spans="1:13" x14ac:dyDescent="0.25">
      <c r="A12" s="4" t="s">
        <v>5</v>
      </c>
      <c r="B12" s="20">
        <v>39484.35</v>
      </c>
      <c r="C12" s="20"/>
      <c r="D12" s="6">
        <f t="shared" si="0"/>
        <v>39484.35</v>
      </c>
      <c r="E12" s="20"/>
      <c r="F12" s="17">
        <f t="shared" si="1"/>
        <v>39484.35</v>
      </c>
    </row>
    <row r="13" spans="1:13" x14ac:dyDescent="0.25">
      <c r="A13" s="4" t="s">
        <v>61</v>
      </c>
      <c r="B13" s="20">
        <v>15857.98</v>
      </c>
      <c r="C13" s="20">
        <v>-15859.98</v>
      </c>
      <c r="D13" s="6">
        <f t="shared" si="0"/>
        <v>-2</v>
      </c>
      <c r="E13" s="20"/>
      <c r="F13" s="17">
        <f t="shared" si="1"/>
        <v>-2</v>
      </c>
    </row>
    <row r="14" spans="1:13" x14ac:dyDescent="0.25">
      <c r="A14" s="2" t="s">
        <v>7</v>
      </c>
      <c r="B14" s="6">
        <f>SUM(B8:B13)</f>
        <v>499394.01</v>
      </c>
      <c r="C14" s="6">
        <f>SUM(C8:C13)</f>
        <v>0</v>
      </c>
      <c r="D14" s="6">
        <f>SUM(D8:D13)</f>
        <v>499394.01</v>
      </c>
      <c r="E14" s="6">
        <f>SUM(E8:E13)</f>
        <v>0</v>
      </c>
      <c r="F14" s="17">
        <f t="shared" si="1"/>
        <v>499394.01</v>
      </c>
    </row>
    <row r="15" spans="1:13" x14ac:dyDescent="0.25">
      <c r="F15" s="17"/>
    </row>
    <row r="16" spans="1:13" x14ac:dyDescent="0.25">
      <c r="A16" s="3" t="s">
        <v>8</v>
      </c>
      <c r="F16" s="17"/>
    </row>
    <row r="17" spans="1:14" x14ac:dyDescent="0.25">
      <c r="A17" s="4" t="s">
        <v>9</v>
      </c>
      <c r="B17" s="20">
        <v>96532.2</v>
      </c>
      <c r="C17" s="20"/>
      <c r="D17" s="6">
        <f>B17+C17</f>
        <v>96532.2</v>
      </c>
      <c r="E17" s="20"/>
      <c r="F17" s="17">
        <f t="shared" ref="F17:F22" si="2">D17+E17</f>
        <v>96532.2</v>
      </c>
    </row>
    <row r="18" spans="1:14" s="6" customFormat="1" x14ac:dyDescent="0.25">
      <c r="A18" s="4" t="s">
        <v>10</v>
      </c>
      <c r="B18" s="20">
        <v>64447.23</v>
      </c>
      <c r="C18" s="20"/>
      <c r="D18" s="6">
        <f>B18+C18</f>
        <v>64447.23</v>
      </c>
      <c r="E18" s="20"/>
      <c r="F18" s="17">
        <f t="shared" si="2"/>
        <v>64447.23</v>
      </c>
      <c r="N18"/>
    </row>
    <row r="19" spans="1:14" s="6" customFormat="1" x14ac:dyDescent="0.25">
      <c r="A19" s="4" t="s">
        <v>190</v>
      </c>
      <c r="B19" s="20"/>
      <c r="C19" s="20"/>
      <c r="D19" s="6">
        <f>B19+C19</f>
        <v>0</v>
      </c>
      <c r="E19" s="20"/>
      <c r="F19" s="17">
        <f t="shared" si="2"/>
        <v>0</v>
      </c>
      <c r="N19"/>
    </row>
    <row r="20" spans="1:14" s="6" customFormat="1" x14ac:dyDescent="0.25">
      <c r="A20" s="4" t="s">
        <v>11</v>
      </c>
      <c r="B20" s="20"/>
      <c r="C20" s="20"/>
      <c r="D20" s="6">
        <f>B20+C20</f>
        <v>0</v>
      </c>
      <c r="E20" s="20"/>
      <c r="F20" s="17">
        <f t="shared" si="2"/>
        <v>0</v>
      </c>
      <c r="N20"/>
    </row>
    <row r="21" spans="1:14" s="6" customFormat="1" x14ac:dyDescent="0.25">
      <c r="A21" s="4" t="s">
        <v>12</v>
      </c>
      <c r="B21" s="20">
        <v>338415.29</v>
      </c>
      <c r="C21" s="20"/>
      <c r="D21" s="6">
        <f>B21+C21</f>
        <v>338415.29</v>
      </c>
      <c r="E21" s="20"/>
      <c r="F21" s="17">
        <f t="shared" si="2"/>
        <v>338415.29</v>
      </c>
      <c r="N21"/>
    </row>
    <row r="22" spans="1:14" s="6" customFormat="1" x14ac:dyDescent="0.25">
      <c r="A22" s="2" t="s">
        <v>13</v>
      </c>
      <c r="B22" s="6">
        <f>SUM(B17:B21)</f>
        <v>499394.72</v>
      </c>
      <c r="C22" s="6">
        <f>SUM(C17:C21)</f>
        <v>0</v>
      </c>
      <c r="D22" s="6">
        <f>SUM(D17:D21)</f>
        <v>499394.72</v>
      </c>
      <c r="E22" s="6">
        <f>SUM(E17:E21)</f>
        <v>0</v>
      </c>
      <c r="F22" s="17">
        <f t="shared" si="2"/>
        <v>499394.72</v>
      </c>
      <c r="N22"/>
    </row>
    <row r="23" spans="1:14" s="6" customFormat="1" x14ac:dyDescent="0.25">
      <c r="A23"/>
      <c r="F23" s="17"/>
      <c r="N23"/>
    </row>
    <row r="24" spans="1:14" s="6" customFormat="1" x14ac:dyDescent="0.25">
      <c r="A24" s="3" t="s">
        <v>14</v>
      </c>
      <c r="F24" s="17"/>
      <c r="N24"/>
    </row>
    <row r="25" spans="1:14" s="6" customFormat="1" x14ac:dyDescent="0.25">
      <c r="A25" s="4" t="s">
        <v>15</v>
      </c>
      <c r="B25" s="20">
        <v>37.159999999999997</v>
      </c>
      <c r="C25" s="20"/>
      <c r="D25" s="6">
        <f>B25+C25</f>
        <v>37.159999999999997</v>
      </c>
      <c r="E25" s="20"/>
      <c r="F25" s="17">
        <f>D25+E25</f>
        <v>37.159999999999997</v>
      </c>
      <c r="N25"/>
    </row>
    <row r="26" spans="1:14" s="6" customFormat="1" x14ac:dyDescent="0.25">
      <c r="A26" s="4" t="s">
        <v>16</v>
      </c>
      <c r="B26" s="20"/>
      <c r="C26" s="20"/>
      <c r="D26" s="6">
        <f>B26+C26</f>
        <v>0</v>
      </c>
      <c r="E26" s="20"/>
      <c r="F26" s="17">
        <f>D26+E26</f>
        <v>0</v>
      </c>
      <c r="N26"/>
    </row>
    <row r="27" spans="1:14" s="6" customFormat="1" x14ac:dyDescent="0.25">
      <c r="A27" s="4" t="s">
        <v>17</v>
      </c>
      <c r="B27" s="20">
        <v>-37.869999999999997</v>
      </c>
      <c r="C27" s="20"/>
      <c r="D27" s="6">
        <f>B27+C27</f>
        <v>-37.869999999999997</v>
      </c>
      <c r="E27" s="20"/>
      <c r="F27" s="17">
        <f>D27+E27</f>
        <v>-37.869999999999997</v>
      </c>
      <c r="N27"/>
    </row>
    <row r="28" spans="1:14" s="6" customFormat="1" x14ac:dyDescent="0.25">
      <c r="A28" s="2" t="s">
        <v>18</v>
      </c>
      <c r="B28" s="6">
        <f>SUM(B25:B27)</f>
        <v>-0.71000000000000085</v>
      </c>
      <c r="C28" s="6">
        <f>SUM(C25:C27)</f>
        <v>0</v>
      </c>
      <c r="D28" s="6">
        <f>SUM(D25:D27)</f>
        <v>-0.71000000000000085</v>
      </c>
      <c r="E28" s="6">
        <f>SUM(E25:E27)</f>
        <v>0</v>
      </c>
      <c r="F28" s="17">
        <f>D28+E28</f>
        <v>-0.71000000000000085</v>
      </c>
      <c r="N28"/>
    </row>
    <row r="29" spans="1:14" s="6" customFormat="1" x14ac:dyDescent="0.25">
      <c r="A29"/>
      <c r="F29" s="17"/>
      <c r="N29"/>
    </row>
    <row r="30" spans="1:14" s="6" customFormat="1" x14ac:dyDescent="0.25">
      <c r="A30" s="2" t="s">
        <v>19</v>
      </c>
      <c r="B30" s="6">
        <f>B22+B28</f>
        <v>499394.00999999995</v>
      </c>
      <c r="C30" s="6">
        <f>C22+C28</f>
        <v>0</v>
      </c>
      <c r="D30" s="6">
        <f>D22+D28</f>
        <v>499394.00999999995</v>
      </c>
      <c r="E30" s="6">
        <f>E22+E28</f>
        <v>0</v>
      </c>
      <c r="F30" s="17">
        <f>D30+E30</f>
        <v>499394.00999999995</v>
      </c>
      <c r="N30"/>
    </row>
    <row r="31" spans="1:14" s="6" customFormat="1" x14ac:dyDescent="0.25">
      <c r="A31"/>
      <c r="B31" s="49" t="str">
        <f>IF(B14=B30,"YES","NO")</f>
        <v>YES</v>
      </c>
      <c r="C31" s="49" t="str">
        <f>IF(C14=C30,"YES","NO")</f>
        <v>YES</v>
      </c>
      <c r="D31" s="49" t="str">
        <f>IF(D14=D30,"YES","NO")</f>
        <v>YES</v>
      </c>
      <c r="E31" s="49" t="str">
        <f>IF(E14=E30,"YES","NO")</f>
        <v>YES</v>
      </c>
      <c r="F31" s="49" t="str">
        <f>IF(F14=F30,"YES","NO")</f>
        <v>YES</v>
      </c>
      <c r="N31"/>
    </row>
    <row r="32" spans="1:14" s="6" customFormat="1" x14ac:dyDescent="0.25">
      <c r="A32" s="3" t="s">
        <v>20</v>
      </c>
      <c r="F32" s="17"/>
      <c r="N32"/>
    </row>
    <row r="33" spans="1:14" s="6" customFormat="1" x14ac:dyDescent="0.25">
      <c r="A33" s="4" t="s">
        <v>21</v>
      </c>
      <c r="B33" s="20">
        <v>2156136.73</v>
      </c>
      <c r="C33" s="20"/>
      <c r="D33" s="6">
        <f>B33+C33</f>
        <v>2156136.73</v>
      </c>
      <c r="E33" s="20"/>
      <c r="F33" s="17">
        <f t="shared" ref="F33:F38" si="3">D33+E33</f>
        <v>2156136.73</v>
      </c>
      <c r="N33"/>
    </row>
    <row r="34" spans="1:14" s="6" customFormat="1" x14ac:dyDescent="0.25">
      <c r="A34" s="4" t="s">
        <v>22</v>
      </c>
      <c r="B34" s="20"/>
      <c r="C34" s="20"/>
      <c r="D34" s="6">
        <f>B34+C34</f>
        <v>0</v>
      </c>
      <c r="E34" s="20"/>
      <c r="F34" s="17">
        <f t="shared" si="3"/>
        <v>0</v>
      </c>
      <c r="N34"/>
    </row>
    <row r="35" spans="1:14" s="6" customFormat="1" x14ac:dyDescent="0.25">
      <c r="A35" s="4" t="s">
        <v>201</v>
      </c>
      <c r="B35" s="20"/>
      <c r="C35" s="20"/>
      <c r="D35" s="6">
        <f>B35+C35</f>
        <v>0</v>
      </c>
      <c r="E35" s="20"/>
      <c r="F35" s="17">
        <f t="shared" si="3"/>
        <v>0</v>
      </c>
      <c r="N35"/>
    </row>
    <row r="36" spans="1:14" s="6" customFormat="1" x14ac:dyDescent="0.25">
      <c r="A36" s="4" t="s">
        <v>23</v>
      </c>
      <c r="B36" s="20">
        <v>1171.5</v>
      </c>
      <c r="C36" s="20"/>
      <c r="D36" s="6">
        <f>B36+C36</f>
        <v>1171.5</v>
      </c>
      <c r="E36" s="20"/>
      <c r="F36" s="17">
        <f t="shared" si="3"/>
        <v>1171.5</v>
      </c>
      <c r="N36"/>
    </row>
    <row r="37" spans="1:14" s="6" customFormat="1" x14ac:dyDescent="0.25">
      <c r="A37" s="4" t="s">
        <v>24</v>
      </c>
      <c r="B37" s="20">
        <v>820</v>
      </c>
      <c r="C37" s="20"/>
      <c r="D37" s="6">
        <f>B37+C37</f>
        <v>820</v>
      </c>
      <c r="E37" s="20"/>
      <c r="F37" s="17">
        <f t="shared" si="3"/>
        <v>820</v>
      </c>
      <c r="N37"/>
    </row>
    <row r="38" spans="1:14" s="6" customFormat="1" x14ac:dyDescent="0.25">
      <c r="A38" s="2" t="s">
        <v>25</v>
      </c>
      <c r="B38" s="6">
        <f>SUM(B33:B37)</f>
        <v>2158128.23</v>
      </c>
      <c r="C38" s="6">
        <f>SUM(C33:C37)</f>
        <v>0</v>
      </c>
      <c r="D38" s="6">
        <f>SUM(D33:D37)</f>
        <v>2158128.23</v>
      </c>
      <c r="E38" s="6">
        <f>SUM(E33:E37)</f>
        <v>0</v>
      </c>
      <c r="F38" s="17">
        <f t="shared" si="3"/>
        <v>2158128.23</v>
      </c>
      <c r="N38"/>
    </row>
    <row r="39" spans="1:14" s="6" customFormat="1" x14ac:dyDescent="0.25">
      <c r="A39"/>
      <c r="F39" s="17"/>
      <c r="N39"/>
    </row>
    <row r="40" spans="1:14" s="6" customFormat="1" x14ac:dyDescent="0.25">
      <c r="A40" s="3" t="s">
        <v>26</v>
      </c>
      <c r="F40" s="17"/>
      <c r="N40"/>
    </row>
    <row r="41" spans="1:14" s="6" customFormat="1" x14ac:dyDescent="0.25">
      <c r="A41" s="4" t="s">
        <v>27</v>
      </c>
      <c r="B41" s="55"/>
      <c r="C41" s="20"/>
      <c r="D41" s="6">
        <f t="shared" ref="D41:D46" si="4">B41+C41</f>
        <v>0</v>
      </c>
      <c r="E41" s="20"/>
      <c r="F41" s="17">
        <f t="shared" ref="F41:F47" si="5">D41+E41</f>
        <v>0</v>
      </c>
      <c r="N41"/>
    </row>
    <row r="42" spans="1:14" s="6" customFormat="1" x14ac:dyDescent="0.25">
      <c r="A42" s="4" t="s">
        <v>28</v>
      </c>
      <c r="B42" s="55"/>
      <c r="C42" s="20"/>
      <c r="D42" s="6">
        <f t="shared" si="4"/>
        <v>0</v>
      </c>
      <c r="E42" s="20"/>
      <c r="F42" s="17">
        <f t="shared" si="5"/>
        <v>0</v>
      </c>
      <c r="N42"/>
    </row>
    <row r="43" spans="1:14" s="6" customFormat="1" x14ac:dyDescent="0.25">
      <c r="A43" s="4" t="s">
        <v>29</v>
      </c>
      <c r="B43" s="55"/>
      <c r="C43" s="20"/>
      <c r="D43" s="6">
        <f t="shared" si="4"/>
        <v>0</v>
      </c>
      <c r="E43" s="20"/>
      <c r="F43" s="17">
        <f t="shared" si="5"/>
        <v>0</v>
      </c>
      <c r="N43"/>
    </row>
    <row r="44" spans="1:14" s="6" customFormat="1" x14ac:dyDescent="0.25">
      <c r="A44" s="4" t="s">
        <v>30</v>
      </c>
      <c r="B44" s="55"/>
      <c r="C44" s="20"/>
      <c r="D44" s="6">
        <f t="shared" si="4"/>
        <v>0</v>
      </c>
      <c r="E44" s="20"/>
      <c r="F44" s="17">
        <f t="shared" si="5"/>
        <v>0</v>
      </c>
      <c r="N44"/>
    </row>
    <row r="45" spans="1:14" s="6" customFormat="1" x14ac:dyDescent="0.25">
      <c r="A45" s="4" t="s">
        <v>31</v>
      </c>
      <c r="B45" s="20">
        <v>2066166.92</v>
      </c>
      <c r="C45" s="20"/>
      <c r="D45" s="6">
        <f t="shared" si="4"/>
        <v>2066166.92</v>
      </c>
      <c r="E45" s="20"/>
      <c r="F45" s="17">
        <f t="shared" si="5"/>
        <v>2066166.92</v>
      </c>
      <c r="N45"/>
    </row>
    <row r="46" spans="1:14" s="6" customFormat="1" x14ac:dyDescent="0.25">
      <c r="A46" s="4" t="s">
        <v>62</v>
      </c>
      <c r="B46" s="55"/>
      <c r="C46" s="20"/>
      <c r="D46" s="6">
        <f t="shared" si="4"/>
        <v>0</v>
      </c>
      <c r="E46" s="20"/>
      <c r="F46" s="17">
        <f t="shared" si="5"/>
        <v>0</v>
      </c>
      <c r="N46"/>
    </row>
    <row r="47" spans="1:14" s="6" customFormat="1" x14ac:dyDescent="0.25">
      <c r="A47" s="2" t="s">
        <v>32</v>
      </c>
      <c r="B47" s="6">
        <f>SUM(B41:B46)</f>
        <v>2066166.92</v>
      </c>
      <c r="C47" s="6">
        <f>SUM(C41:C46)</f>
        <v>0</v>
      </c>
      <c r="D47" s="6">
        <f>SUM(D41:D46)</f>
        <v>2066166.92</v>
      </c>
      <c r="E47" s="6">
        <f>SUM(E41:E46)</f>
        <v>0</v>
      </c>
      <c r="F47" s="17">
        <f t="shared" si="5"/>
        <v>2066166.92</v>
      </c>
      <c r="N47"/>
    </row>
    <row r="48" spans="1:14" s="6" customFormat="1" x14ac:dyDescent="0.25">
      <c r="A48"/>
      <c r="F48" s="17"/>
      <c r="N48"/>
    </row>
    <row r="49" spans="1:14" s="6" customFormat="1" x14ac:dyDescent="0.25">
      <c r="A49" s="2" t="s">
        <v>33</v>
      </c>
      <c r="B49" s="6">
        <f>B38-B47</f>
        <v>91961.310000000056</v>
      </c>
      <c r="C49" s="6">
        <f>C38-C47</f>
        <v>0</v>
      </c>
      <c r="D49" s="6">
        <f>D38-D47</f>
        <v>91961.310000000056</v>
      </c>
      <c r="E49" s="6">
        <f>E38-E47</f>
        <v>0</v>
      </c>
      <c r="F49" s="17">
        <f>D49+E49</f>
        <v>91961.310000000056</v>
      </c>
      <c r="N49"/>
    </row>
    <row r="50" spans="1:14" s="6" customFormat="1" x14ac:dyDescent="0.25">
      <c r="A50" s="2"/>
      <c r="F50" s="17"/>
      <c r="N50"/>
    </row>
    <row r="51" spans="1:14" s="6" customFormat="1" x14ac:dyDescent="0.25">
      <c r="A51" s="34" t="s">
        <v>299</v>
      </c>
      <c r="B51" s="20">
        <v>10620</v>
      </c>
      <c r="C51" s="20"/>
      <c r="D51" s="6">
        <f>B51+C51</f>
        <v>10620</v>
      </c>
      <c r="E51" s="20"/>
      <c r="F51" s="17">
        <f>D51+E51</f>
        <v>10620</v>
      </c>
      <c r="N51"/>
    </row>
    <row r="52" spans="1:14" s="6" customFormat="1" x14ac:dyDescent="0.25">
      <c r="A52" t="s">
        <v>34</v>
      </c>
      <c r="B52" s="20">
        <v>46547</v>
      </c>
      <c r="C52" s="20"/>
      <c r="D52" s="6">
        <f>B52+C52</f>
        <v>46547</v>
      </c>
      <c r="E52" s="20"/>
      <c r="F52" s="17">
        <f>D52+E52</f>
        <v>46547</v>
      </c>
      <c r="N52"/>
    </row>
    <row r="53" spans="1:14" s="6" customFormat="1" x14ac:dyDescent="0.25">
      <c r="A53" t="s">
        <v>35</v>
      </c>
      <c r="B53" s="20">
        <v>149128.31</v>
      </c>
      <c r="C53" s="20"/>
      <c r="D53" s="6">
        <f>B53+C53</f>
        <v>149128.31</v>
      </c>
      <c r="E53" s="20"/>
      <c r="F53" s="17">
        <f>D53+E53</f>
        <v>149128.31</v>
      </c>
      <c r="N53"/>
    </row>
    <row r="54" spans="1:14" s="6" customFormat="1" x14ac:dyDescent="0.25">
      <c r="A54" s="2" t="s">
        <v>36</v>
      </c>
      <c r="B54" s="6">
        <f>B51+B52-B53</f>
        <v>-91961.31</v>
      </c>
      <c r="C54" s="6">
        <f>C51+C52-C53</f>
        <v>0</v>
      </c>
      <c r="D54" s="6">
        <f>B54+C54</f>
        <v>-91961.31</v>
      </c>
      <c r="E54" s="6">
        <f>E51+E52-E53</f>
        <v>0</v>
      </c>
      <c r="F54" s="17">
        <f>D54+E54</f>
        <v>-91961.31</v>
      </c>
      <c r="N54"/>
    </row>
    <row r="55" spans="1:14" s="6" customFormat="1" x14ac:dyDescent="0.25">
      <c r="A55"/>
      <c r="F55" s="17"/>
      <c r="N55"/>
    </row>
    <row r="56" spans="1:14" s="6" customFormat="1" x14ac:dyDescent="0.25">
      <c r="A56" s="2" t="s">
        <v>37</v>
      </c>
      <c r="B56" s="17">
        <f>B49+B54</f>
        <v>0</v>
      </c>
      <c r="C56" s="17">
        <f>C49+C54</f>
        <v>0</v>
      </c>
      <c r="D56" s="6">
        <f>D49+D54</f>
        <v>0</v>
      </c>
      <c r="E56" s="6">
        <f>E49+E54</f>
        <v>0</v>
      </c>
      <c r="F56" s="17">
        <f>D56+E56</f>
        <v>0</v>
      </c>
      <c r="N56"/>
    </row>
    <row r="57" spans="1:14" s="6" customFormat="1" x14ac:dyDescent="0.25">
      <c r="A57" t="s">
        <v>38</v>
      </c>
      <c r="B57" s="6">
        <f>B58-B56</f>
        <v>-0.71000000000000085</v>
      </c>
      <c r="C57" s="6">
        <f>C58-C56</f>
        <v>0</v>
      </c>
      <c r="D57" s="6">
        <f>D58-D56</f>
        <v>-0.71000000000000085</v>
      </c>
      <c r="E57" s="6">
        <f>E58-E56</f>
        <v>0</v>
      </c>
      <c r="F57" s="17">
        <f>D57+E57</f>
        <v>-0.71000000000000085</v>
      </c>
      <c r="N57"/>
    </row>
    <row r="58" spans="1:14" s="6" customFormat="1" x14ac:dyDescent="0.25">
      <c r="A58" s="2" t="s">
        <v>39</v>
      </c>
      <c r="B58" s="6">
        <f>B28</f>
        <v>-0.71000000000000085</v>
      </c>
      <c r="C58" s="6">
        <f>C28</f>
        <v>0</v>
      </c>
      <c r="D58" s="6">
        <f>D28</f>
        <v>-0.71000000000000085</v>
      </c>
      <c r="E58" s="6">
        <f>E28</f>
        <v>0</v>
      </c>
      <c r="F58" s="17">
        <f>D58+E58</f>
        <v>-0.71000000000000085</v>
      </c>
      <c r="N58"/>
    </row>
  </sheetData>
  <sheetProtection sheet="1" objects="1" scenarios="1"/>
  <customSheetViews>
    <customSheetView guid="{E68B3865-8D72-47E7-BE32-0FF7EB09E889}" fitToPage="1" topLeftCell="A4">
      <selection activeCell="C14" sqref="C14"/>
      <pageMargins left="0.7" right="0.7" top="0.75" bottom="0.75" header="0.3" footer="0.3"/>
      <pageSetup scale="78" orientation="portrait" horizontalDpi="1200" r:id="rId1"/>
    </customSheetView>
    <customSheetView guid="{DE6E911D-85BF-467A-AA00-1E84C5349CF7}" fitToPage="1" topLeftCell="A4">
      <selection activeCell="C14" sqref="C14"/>
      <pageMargins left="0.7" right="0.7" top="0.75" bottom="0.75" header="0.3" footer="0.3"/>
      <pageSetup scale="78" orientation="portrait" horizontalDpi="1200" r:id="rId2"/>
    </customSheetView>
    <customSheetView guid="{A6F79E61-D6A3-44FD-B4A4-4724DF74349B}" showPageBreaks="1" fitToPage="1">
      <selection activeCell="B13" sqref="B13"/>
      <pageMargins left="0.7" right="0.7" top="0.75" bottom="0.75" header="0.3" footer="0.3"/>
      <pageSetup scale="80" orientation="portrait" horizontalDpi="1200" r:id="rId3"/>
    </customSheetView>
    <customSheetView guid="{EC03C3C8-7E57-47C6-8413-F484E8C46A0C}" showPageBreaks="1" fitToPage="1" topLeftCell="A35">
      <selection activeCell="B52" sqref="B52"/>
      <pageMargins left="0.7" right="0.7" top="0.75" bottom="0.75" header="0.3" footer="0.3"/>
      <pageSetup scale="80" orientation="portrait" horizontalDpi="1200" r:id="rId4"/>
    </customSheetView>
    <customSheetView guid="{2B2709E2-6DF4-4CC4-88D0-056FB306137C}" fitToPage="1" topLeftCell="A7">
      <selection activeCell="C28" sqref="C28"/>
      <pageMargins left="0.7" right="0.7" top="0.75" bottom="0.75" header="0.3" footer="0.3"/>
      <pageSetup scale="81" orientation="portrait" horizontalDpi="1200" r:id="rId5"/>
    </customSheetView>
  </customSheetViews>
  <pageMargins left="0.7" right="0.7" top="0.75" bottom="0.75" header="0.3" footer="0.3"/>
  <pageSetup scale="78" orientation="portrait" horizontalDpi="1200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zoomScale="80" zoomScaleNormal="80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O66" sqref="O66"/>
    </sheetView>
  </sheetViews>
  <sheetFormatPr defaultRowHeight="15" outlineLevelCol="1" x14ac:dyDescent="0.25"/>
  <cols>
    <col min="1" max="1" width="33.42578125" customWidth="1"/>
    <col min="2" max="2" width="18.28515625" bestFit="1" customWidth="1" outlineLevel="1"/>
    <col min="3" max="3" width="11.85546875" bestFit="1" customWidth="1" outlineLevel="1"/>
    <col min="4" max="4" width="15.85546875" customWidth="1"/>
    <col min="5" max="5" width="11.85546875" hidden="1" customWidth="1" outlineLevel="1"/>
    <col min="6" max="6" width="10.85546875" hidden="1" customWidth="1" outlineLevel="1"/>
    <col min="7" max="7" width="13.5703125" hidden="1" customWidth="1" collapsed="1"/>
    <col min="8" max="8" width="10.140625" customWidth="1" outlineLevel="1"/>
    <col min="9" max="9" width="9.140625" outlineLevel="1"/>
    <col min="10" max="10" width="13.5703125" bestFit="1" customWidth="1"/>
    <col min="11" max="11" width="11.85546875" customWidth="1"/>
    <col min="12" max="12" width="12.28515625" bestFit="1" customWidth="1" outlineLevel="1"/>
    <col min="13" max="13" width="10.85546875" bestFit="1" customWidth="1" outlineLevel="1"/>
    <col min="14" max="14" width="13.5703125" bestFit="1" customWidth="1"/>
    <col min="15" max="15" width="13.5703125" bestFit="1" customWidth="1" outlineLevel="1"/>
    <col min="16" max="16" width="12.7109375" bestFit="1" customWidth="1" outlineLevel="1"/>
    <col min="17" max="17" width="13.5703125" bestFit="1" customWidth="1"/>
    <col min="18" max="18" width="14.42578125" bestFit="1" customWidth="1"/>
  </cols>
  <sheetData>
    <row r="1" spans="1:18" ht="23.25" x14ac:dyDescent="0.35">
      <c r="A1" s="5" t="s">
        <v>250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25">
      <c r="A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f>'ALL GOVERNMENT FUNDS'!A3</f>
        <v>43830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5">
      <c r="A4" s="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45" x14ac:dyDescent="0.25">
      <c r="A5" s="1"/>
      <c r="B5" s="7" t="s">
        <v>268</v>
      </c>
      <c r="C5" s="7" t="s">
        <v>47</v>
      </c>
      <c r="D5" s="7" t="s">
        <v>267</v>
      </c>
      <c r="E5" s="7" t="s">
        <v>266</v>
      </c>
      <c r="F5" s="7" t="s">
        <v>47</v>
      </c>
      <c r="G5" s="7" t="s">
        <v>265</v>
      </c>
      <c r="H5" s="7" t="s">
        <v>264</v>
      </c>
      <c r="I5" s="7" t="s">
        <v>47</v>
      </c>
      <c r="J5" s="7" t="s">
        <v>263</v>
      </c>
      <c r="K5" s="7" t="s">
        <v>262</v>
      </c>
      <c r="L5" s="7" t="s">
        <v>261</v>
      </c>
      <c r="M5" s="7" t="s">
        <v>47</v>
      </c>
      <c r="N5" s="7" t="s">
        <v>260</v>
      </c>
      <c r="O5" s="7" t="s">
        <v>259</v>
      </c>
      <c r="P5" s="7" t="s">
        <v>47</v>
      </c>
      <c r="Q5" s="7" t="s">
        <v>258</v>
      </c>
      <c r="R5" s="18" t="s">
        <v>257</v>
      </c>
    </row>
    <row r="6" spans="1:18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7"/>
    </row>
    <row r="7" spans="1:18" x14ac:dyDescent="0.25">
      <c r="A7" s="3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7"/>
    </row>
    <row r="8" spans="1:18" x14ac:dyDescent="0.25">
      <c r="A8" s="4" t="s">
        <v>3</v>
      </c>
      <c r="B8" s="20">
        <v>-1045568.12</v>
      </c>
      <c r="C8" s="20"/>
      <c r="D8" s="6">
        <f t="shared" ref="D8:D13" si="0">B8+C8</f>
        <v>-1045568.12</v>
      </c>
      <c r="E8" s="20"/>
      <c r="F8" s="20"/>
      <c r="G8" s="49">
        <f t="shared" ref="G8:G13" si="1">E8+F8</f>
        <v>0</v>
      </c>
      <c r="H8" s="20"/>
      <c r="I8" s="20"/>
      <c r="J8" s="6">
        <f t="shared" ref="J8:J13" si="2">H8+I8</f>
        <v>0</v>
      </c>
      <c r="K8" s="20">
        <v>32098.28</v>
      </c>
      <c r="L8" s="46">
        <v>0</v>
      </c>
      <c r="M8" s="20"/>
      <c r="N8" s="6">
        <f t="shared" ref="N8:N13" si="3">L8+M8</f>
        <v>0</v>
      </c>
      <c r="O8" s="20">
        <v>-131635.32</v>
      </c>
      <c r="P8" s="20"/>
      <c r="Q8" s="6">
        <f t="shared" ref="Q8:Q13" si="4">O8+P8</f>
        <v>-131635.32</v>
      </c>
      <c r="R8" s="17">
        <f>D8+J8+K8+N8+Q8</f>
        <v>-1145105.1599999999</v>
      </c>
    </row>
    <row r="9" spans="1:18" x14ac:dyDescent="0.25">
      <c r="A9" s="4" t="s">
        <v>189</v>
      </c>
      <c r="B9" s="20"/>
      <c r="C9" s="20"/>
      <c r="D9" s="6">
        <f t="shared" si="0"/>
        <v>0</v>
      </c>
      <c r="E9" s="20"/>
      <c r="F9" s="20"/>
      <c r="G9" s="6">
        <f t="shared" si="1"/>
        <v>0</v>
      </c>
      <c r="H9" s="20"/>
      <c r="I9" s="20"/>
      <c r="J9" s="6">
        <f t="shared" si="2"/>
        <v>0</v>
      </c>
      <c r="K9" s="20"/>
      <c r="L9" s="20"/>
      <c r="M9" s="20"/>
      <c r="N9" s="6">
        <f t="shared" si="3"/>
        <v>0</v>
      </c>
      <c r="O9" s="20"/>
      <c r="P9" s="20"/>
      <c r="Q9" s="6">
        <f t="shared" si="4"/>
        <v>0</v>
      </c>
      <c r="R9" s="17">
        <f t="shared" ref="R9:R22" si="5">D9+J9+K9+N9+Q9</f>
        <v>0</v>
      </c>
    </row>
    <row r="10" spans="1:18" x14ac:dyDescent="0.25">
      <c r="A10" s="4" t="s">
        <v>4</v>
      </c>
      <c r="B10" s="20">
        <v>489240.08</v>
      </c>
      <c r="C10" s="20"/>
      <c r="D10" s="6">
        <f t="shared" si="0"/>
        <v>489240.08</v>
      </c>
      <c r="E10" s="20"/>
      <c r="F10" s="20"/>
      <c r="G10" s="6">
        <f t="shared" si="1"/>
        <v>0</v>
      </c>
      <c r="H10" s="20"/>
      <c r="I10" s="20"/>
      <c r="J10" s="6">
        <f t="shared" si="2"/>
        <v>0</v>
      </c>
      <c r="K10" s="20"/>
      <c r="L10" s="20"/>
      <c r="M10" s="20"/>
      <c r="N10" s="6">
        <f t="shared" si="3"/>
        <v>0</v>
      </c>
      <c r="O10" s="20">
        <v>229815.49</v>
      </c>
      <c r="P10" s="20"/>
      <c r="Q10" s="6">
        <f>O10+P10</f>
        <v>229815.49</v>
      </c>
      <c r="R10" s="17">
        <f t="shared" si="5"/>
        <v>719055.57000000007</v>
      </c>
    </row>
    <row r="11" spans="1:18" x14ac:dyDescent="0.25">
      <c r="A11" s="4" t="s">
        <v>6</v>
      </c>
      <c r="B11" s="20"/>
      <c r="C11" s="20">
        <v>30205.68</v>
      </c>
      <c r="D11" s="6">
        <f t="shared" si="0"/>
        <v>30205.68</v>
      </c>
      <c r="E11" s="20"/>
      <c r="F11" s="20"/>
      <c r="G11" s="6">
        <f t="shared" si="1"/>
        <v>0</v>
      </c>
      <c r="H11" s="20"/>
      <c r="I11" s="20"/>
      <c r="J11" s="6">
        <f t="shared" si="2"/>
        <v>0</v>
      </c>
      <c r="K11" s="20"/>
      <c r="L11" s="20"/>
      <c r="M11" s="20"/>
      <c r="N11" s="6">
        <f t="shared" si="3"/>
        <v>0</v>
      </c>
      <c r="O11" s="20"/>
      <c r="P11" s="20"/>
      <c r="Q11" s="6">
        <f t="shared" si="4"/>
        <v>0</v>
      </c>
      <c r="R11" s="17">
        <f t="shared" si="5"/>
        <v>30205.68</v>
      </c>
    </row>
    <row r="12" spans="1:18" x14ac:dyDescent="0.25">
      <c r="A12" s="4" t="s">
        <v>5</v>
      </c>
      <c r="B12" s="20">
        <v>1379388.52</v>
      </c>
      <c r="C12" s="20">
        <v>117</v>
      </c>
      <c r="D12" s="6">
        <f t="shared" si="0"/>
        <v>1379505.52</v>
      </c>
      <c r="E12" s="20"/>
      <c r="F12" s="20"/>
      <c r="G12" s="6">
        <f t="shared" si="1"/>
        <v>0</v>
      </c>
      <c r="H12" s="20"/>
      <c r="I12" s="20"/>
      <c r="J12" s="6">
        <f t="shared" si="2"/>
        <v>0</v>
      </c>
      <c r="K12" s="20"/>
      <c r="L12" s="20"/>
      <c r="M12" s="20"/>
      <c r="N12" s="6">
        <f t="shared" si="3"/>
        <v>0</v>
      </c>
      <c r="O12" s="20"/>
      <c r="P12" s="20"/>
      <c r="Q12" s="6">
        <f t="shared" si="4"/>
        <v>0</v>
      </c>
      <c r="R12" s="17">
        <f t="shared" si="5"/>
        <v>1379505.52</v>
      </c>
    </row>
    <row r="13" spans="1:18" x14ac:dyDescent="0.25">
      <c r="A13" s="4" t="s">
        <v>61</v>
      </c>
      <c r="B13" s="20">
        <v>30205.68</v>
      </c>
      <c r="C13" s="20">
        <v>-30205.68</v>
      </c>
      <c r="D13" s="6">
        <f t="shared" si="0"/>
        <v>0</v>
      </c>
      <c r="E13" s="20"/>
      <c r="F13" s="20"/>
      <c r="G13" s="6">
        <f t="shared" si="1"/>
        <v>0</v>
      </c>
      <c r="H13" s="20"/>
      <c r="I13" s="20"/>
      <c r="J13" s="6">
        <f t="shared" si="2"/>
        <v>0</v>
      </c>
      <c r="K13" s="20"/>
      <c r="L13" s="20"/>
      <c r="M13" s="20"/>
      <c r="N13" s="6">
        <f t="shared" si="3"/>
        <v>0</v>
      </c>
      <c r="O13" s="20"/>
      <c r="P13" s="20"/>
      <c r="Q13" s="6">
        <f t="shared" si="4"/>
        <v>0</v>
      </c>
      <c r="R13" s="17">
        <f t="shared" si="5"/>
        <v>0</v>
      </c>
    </row>
    <row r="14" spans="1:18" x14ac:dyDescent="0.25">
      <c r="A14" s="2" t="s">
        <v>7</v>
      </c>
      <c r="B14" s="6">
        <f t="shared" ref="B14:Q14" si="6">SUM(B8:B13)</f>
        <v>853266.16</v>
      </c>
      <c r="C14" s="6">
        <f t="shared" si="6"/>
        <v>117</v>
      </c>
      <c r="D14" s="6">
        <f t="shared" si="6"/>
        <v>853383.16</v>
      </c>
      <c r="E14" s="6">
        <f t="shared" si="6"/>
        <v>0</v>
      </c>
      <c r="F14" s="6">
        <f>SUM(F8:F13)</f>
        <v>0</v>
      </c>
      <c r="G14" s="6">
        <f t="shared" si="6"/>
        <v>0</v>
      </c>
      <c r="H14" s="6">
        <f t="shared" si="6"/>
        <v>0</v>
      </c>
      <c r="I14" s="6">
        <f t="shared" si="6"/>
        <v>0</v>
      </c>
      <c r="J14" s="6">
        <f t="shared" si="6"/>
        <v>0</v>
      </c>
      <c r="K14" s="16">
        <f t="shared" si="6"/>
        <v>32098.28</v>
      </c>
      <c r="L14" s="16">
        <f t="shared" si="6"/>
        <v>0</v>
      </c>
      <c r="M14" s="16">
        <f t="shared" si="6"/>
        <v>0</v>
      </c>
      <c r="N14" s="6">
        <f t="shared" si="6"/>
        <v>0</v>
      </c>
      <c r="O14" s="6">
        <f t="shared" si="6"/>
        <v>98180.169999999984</v>
      </c>
      <c r="P14" s="6">
        <f t="shared" si="6"/>
        <v>0</v>
      </c>
      <c r="Q14" s="6">
        <f t="shared" si="6"/>
        <v>98180.169999999984</v>
      </c>
      <c r="R14" s="17">
        <f t="shared" si="5"/>
        <v>983661.6100000001</v>
      </c>
    </row>
    <row r="15" spans="1:18" x14ac:dyDescent="0.2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7"/>
    </row>
    <row r="16" spans="1:18" x14ac:dyDescent="0.25">
      <c r="A16" s="3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17"/>
    </row>
    <row r="17" spans="1:18" x14ac:dyDescent="0.25">
      <c r="A17" s="4" t="s">
        <v>9</v>
      </c>
      <c r="B17" s="20">
        <v>537941.02</v>
      </c>
      <c r="C17" s="20"/>
      <c r="D17" s="6">
        <f>B17+C17</f>
        <v>537941.02</v>
      </c>
      <c r="E17" s="20"/>
      <c r="F17" s="20"/>
      <c r="G17" s="6">
        <f>E17+F17</f>
        <v>0</v>
      </c>
      <c r="H17" s="20"/>
      <c r="I17" s="20"/>
      <c r="J17" s="6">
        <f>H17+I17</f>
        <v>0</v>
      </c>
      <c r="K17" s="20">
        <v>526.29</v>
      </c>
      <c r="L17" s="20"/>
      <c r="M17" s="20"/>
      <c r="N17" s="6">
        <f>L17+M17</f>
        <v>0</v>
      </c>
      <c r="O17" s="20">
        <v>98182.399999999994</v>
      </c>
      <c r="P17" s="20"/>
      <c r="Q17" s="6">
        <f>O17+P17</f>
        <v>98182.399999999994</v>
      </c>
      <c r="R17" s="17">
        <f t="shared" si="5"/>
        <v>636649.71000000008</v>
      </c>
    </row>
    <row r="18" spans="1:18" x14ac:dyDescent="0.25">
      <c r="A18" s="4" t="s">
        <v>10</v>
      </c>
      <c r="B18" s="20">
        <v>155087.74</v>
      </c>
      <c r="C18" s="20"/>
      <c r="D18" s="6">
        <f>B18+C18</f>
        <v>155087.74</v>
      </c>
      <c r="E18" s="20"/>
      <c r="F18" s="20"/>
      <c r="G18" s="6">
        <f>E18+F18</f>
        <v>0</v>
      </c>
      <c r="H18" s="20"/>
      <c r="I18" s="20"/>
      <c r="J18" s="6">
        <f>H18+I18</f>
        <v>0</v>
      </c>
      <c r="K18" s="20"/>
      <c r="L18" s="20"/>
      <c r="M18" s="20"/>
      <c r="N18" s="6">
        <f>L18+M18</f>
        <v>0</v>
      </c>
      <c r="O18" s="20"/>
      <c r="P18" s="20"/>
      <c r="Q18" s="6">
        <f>O18+P18</f>
        <v>0</v>
      </c>
      <c r="R18" s="17">
        <f t="shared" si="5"/>
        <v>155087.74</v>
      </c>
    </row>
    <row r="19" spans="1:18" x14ac:dyDescent="0.25">
      <c r="A19" s="4" t="s">
        <v>190</v>
      </c>
      <c r="B19" s="20">
        <v>160355</v>
      </c>
      <c r="C19" s="20"/>
      <c r="D19" s="6">
        <f>B19+C19</f>
        <v>160355</v>
      </c>
      <c r="E19" s="20"/>
      <c r="F19" s="20"/>
      <c r="G19" s="6">
        <f>E19+F19</f>
        <v>0</v>
      </c>
      <c r="H19" s="20"/>
      <c r="I19" s="20"/>
      <c r="J19" s="6">
        <f>H19+I19</f>
        <v>0</v>
      </c>
      <c r="K19" s="20"/>
      <c r="L19" s="20"/>
      <c r="M19" s="20"/>
      <c r="N19" s="6">
        <f>L19+M19</f>
        <v>0</v>
      </c>
      <c r="O19" s="20"/>
      <c r="P19" s="20"/>
      <c r="Q19" s="6">
        <f>O19+P19</f>
        <v>0</v>
      </c>
      <c r="R19" s="17">
        <f t="shared" si="5"/>
        <v>160355</v>
      </c>
    </row>
    <row r="20" spans="1:18" x14ac:dyDescent="0.25">
      <c r="A20" s="4" t="s">
        <v>11</v>
      </c>
      <c r="B20" s="20"/>
      <c r="C20" s="20"/>
      <c r="D20" s="6">
        <f>B20+C20</f>
        <v>0</v>
      </c>
      <c r="E20" s="20"/>
      <c r="F20" s="20"/>
      <c r="G20" s="6">
        <f>E20+F20</f>
        <v>0</v>
      </c>
      <c r="H20" s="20"/>
      <c r="I20" s="20"/>
      <c r="J20" s="6">
        <f>H20+I20</f>
        <v>0</v>
      </c>
      <c r="K20" s="20"/>
      <c r="L20" s="20"/>
      <c r="M20" s="20"/>
      <c r="N20" s="6">
        <f>L20+M20</f>
        <v>0</v>
      </c>
      <c r="O20" s="20"/>
      <c r="P20" s="20"/>
      <c r="Q20" s="6">
        <f>O20+P20</f>
        <v>0</v>
      </c>
      <c r="R20" s="17">
        <f t="shared" si="5"/>
        <v>0</v>
      </c>
    </row>
    <row r="21" spans="1:18" x14ac:dyDescent="0.25">
      <c r="A21" s="4" t="s">
        <v>12</v>
      </c>
      <c r="B21" s="20"/>
      <c r="C21" s="20"/>
      <c r="D21" s="6">
        <f>B21+C21</f>
        <v>0</v>
      </c>
      <c r="E21" s="20"/>
      <c r="F21" s="20"/>
      <c r="G21" s="6">
        <f>E21+F21</f>
        <v>0</v>
      </c>
      <c r="H21" s="20"/>
      <c r="I21" s="20"/>
      <c r="J21" s="6">
        <f>H21+I21</f>
        <v>0</v>
      </c>
      <c r="K21" s="20"/>
      <c r="L21" s="20"/>
      <c r="M21" s="20"/>
      <c r="N21" s="6">
        <f>L21+M21</f>
        <v>0</v>
      </c>
      <c r="O21" s="20">
        <v>-0.46</v>
      </c>
      <c r="P21" s="20"/>
      <c r="Q21" s="6">
        <f>O21+P21</f>
        <v>-0.46</v>
      </c>
      <c r="R21" s="17">
        <f t="shared" si="5"/>
        <v>-0.46</v>
      </c>
    </row>
    <row r="22" spans="1:18" x14ac:dyDescent="0.25">
      <c r="A22" s="2" t="s">
        <v>13</v>
      </c>
      <c r="B22" s="6">
        <f t="shared" ref="B22:Q22" si="7">SUM(B17:B21)</f>
        <v>853383.76</v>
      </c>
      <c r="C22" s="6">
        <f t="shared" si="7"/>
        <v>0</v>
      </c>
      <c r="D22" s="6">
        <f t="shared" si="7"/>
        <v>853383.76</v>
      </c>
      <c r="E22" s="6">
        <f t="shared" si="7"/>
        <v>0</v>
      </c>
      <c r="F22" s="6">
        <f t="shared" si="7"/>
        <v>0</v>
      </c>
      <c r="G22" s="6">
        <f t="shared" si="7"/>
        <v>0</v>
      </c>
      <c r="H22" s="6">
        <f t="shared" si="7"/>
        <v>0</v>
      </c>
      <c r="I22" s="6">
        <f t="shared" si="7"/>
        <v>0</v>
      </c>
      <c r="J22" s="6">
        <f t="shared" si="7"/>
        <v>0</v>
      </c>
      <c r="K22" s="6">
        <f t="shared" si="7"/>
        <v>526.29</v>
      </c>
      <c r="L22" s="6">
        <f t="shared" si="7"/>
        <v>0</v>
      </c>
      <c r="M22" s="6">
        <f t="shared" si="7"/>
        <v>0</v>
      </c>
      <c r="N22" s="6">
        <f t="shared" si="7"/>
        <v>0</v>
      </c>
      <c r="O22" s="6">
        <f>SUM(O17:O21)</f>
        <v>98181.939999999988</v>
      </c>
      <c r="P22" s="6">
        <f t="shared" si="7"/>
        <v>0</v>
      </c>
      <c r="Q22" s="6">
        <f t="shared" si="7"/>
        <v>98181.939999999988</v>
      </c>
      <c r="R22" s="17">
        <f t="shared" si="5"/>
        <v>952091.99</v>
      </c>
    </row>
    <row r="23" spans="1:18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17"/>
    </row>
    <row r="24" spans="1:18" x14ac:dyDescent="0.25">
      <c r="A24" s="3" t="s">
        <v>14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17"/>
    </row>
    <row r="25" spans="1:18" x14ac:dyDescent="0.25">
      <c r="A25" s="4" t="s">
        <v>15</v>
      </c>
      <c r="B25" s="20">
        <v>162.06</v>
      </c>
      <c r="C25" s="20">
        <v>-162.06</v>
      </c>
      <c r="D25" s="6">
        <f>B25+C25</f>
        <v>0</v>
      </c>
      <c r="E25" s="20"/>
      <c r="F25" s="20"/>
      <c r="G25" s="6">
        <f>E25+F25</f>
        <v>0</v>
      </c>
      <c r="H25" s="20"/>
      <c r="I25" s="20"/>
      <c r="J25" s="6">
        <f>H25+I25</f>
        <v>0</v>
      </c>
      <c r="K25" s="20"/>
      <c r="L25" s="20"/>
      <c r="M25" s="20"/>
      <c r="N25" s="6">
        <f>L25+M25</f>
        <v>0</v>
      </c>
      <c r="O25" s="20"/>
      <c r="P25" s="20"/>
      <c r="Q25" s="6">
        <f>O25+P25</f>
        <v>0</v>
      </c>
      <c r="R25" s="17">
        <f>D25+J25+K25+N25+Q25</f>
        <v>0</v>
      </c>
    </row>
    <row r="26" spans="1:18" x14ac:dyDescent="0.25">
      <c r="A26" s="4" t="s">
        <v>16</v>
      </c>
      <c r="B26" s="189"/>
      <c r="C26" s="20"/>
      <c r="D26" s="6">
        <f>B26+C26</f>
        <v>0</v>
      </c>
      <c r="E26" s="20"/>
      <c r="F26" s="20"/>
      <c r="G26" s="6">
        <f>E26+F26</f>
        <v>0</v>
      </c>
      <c r="H26" s="20"/>
      <c r="I26" s="20"/>
      <c r="J26" s="6">
        <f>H26+I26</f>
        <v>0</v>
      </c>
      <c r="K26" s="20"/>
      <c r="L26" s="20"/>
      <c r="M26" s="20"/>
      <c r="N26" s="6">
        <f>L26+M26</f>
        <v>0</v>
      </c>
      <c r="O26" s="20"/>
      <c r="P26" s="20"/>
      <c r="Q26" s="6">
        <f>O26+P26</f>
        <v>0</v>
      </c>
      <c r="R26" s="17">
        <f>D26+J26+K26+N26+Q26</f>
        <v>0</v>
      </c>
    </row>
    <row r="27" spans="1:18" x14ac:dyDescent="0.25">
      <c r="A27" s="4" t="s">
        <v>17</v>
      </c>
      <c r="B27" s="20">
        <v>-279.66000000000003</v>
      </c>
      <c r="C27" s="20">
        <f>117+162.06</f>
        <v>279.06</v>
      </c>
      <c r="D27" s="6">
        <f>B27+C27</f>
        <v>-0.60000000000002274</v>
      </c>
      <c r="E27" s="20"/>
      <c r="F27" s="20"/>
      <c r="G27" s="6">
        <f>E27+F27</f>
        <v>0</v>
      </c>
      <c r="H27" s="20"/>
      <c r="I27" s="20"/>
      <c r="J27" s="6">
        <f>H27+I27</f>
        <v>0</v>
      </c>
      <c r="K27" s="20">
        <v>31571.99</v>
      </c>
      <c r="L27" s="20"/>
      <c r="M27" s="20"/>
      <c r="N27" s="6">
        <f>L27+M27</f>
        <v>0</v>
      </c>
      <c r="O27" s="20">
        <v>-1.77</v>
      </c>
      <c r="P27" s="20"/>
      <c r="Q27" s="6">
        <f>O27+P27</f>
        <v>-1.77</v>
      </c>
      <c r="R27" s="17">
        <f>D27+J27+K27+N27+Q27</f>
        <v>31569.620000000003</v>
      </c>
    </row>
    <row r="28" spans="1:18" x14ac:dyDescent="0.25">
      <c r="A28" s="2" t="s">
        <v>18</v>
      </c>
      <c r="B28" s="6">
        <f t="shared" ref="B28:Q28" si="8">SUM(B25:B27)</f>
        <v>-117.60000000000002</v>
      </c>
      <c r="C28" s="6">
        <f t="shared" si="8"/>
        <v>117</v>
      </c>
      <c r="D28" s="6">
        <f t="shared" si="8"/>
        <v>-0.60000000000002274</v>
      </c>
      <c r="E28" s="6">
        <f t="shared" si="8"/>
        <v>0</v>
      </c>
      <c r="F28" s="6">
        <f t="shared" si="8"/>
        <v>0</v>
      </c>
      <c r="G28" s="6">
        <f t="shared" si="8"/>
        <v>0</v>
      </c>
      <c r="H28" s="6">
        <f t="shared" si="8"/>
        <v>0</v>
      </c>
      <c r="I28" s="6">
        <f t="shared" si="8"/>
        <v>0</v>
      </c>
      <c r="J28" s="6">
        <f t="shared" si="8"/>
        <v>0</v>
      </c>
      <c r="K28" s="6">
        <f t="shared" si="8"/>
        <v>31571.99</v>
      </c>
      <c r="L28" s="6">
        <f t="shared" si="8"/>
        <v>0</v>
      </c>
      <c r="M28" s="6">
        <f t="shared" si="8"/>
        <v>0</v>
      </c>
      <c r="N28" s="6">
        <f t="shared" si="8"/>
        <v>0</v>
      </c>
      <c r="O28" s="6">
        <f t="shared" si="8"/>
        <v>-1.77</v>
      </c>
      <c r="P28" s="6">
        <f t="shared" si="8"/>
        <v>0</v>
      </c>
      <c r="Q28" s="6">
        <f t="shared" si="8"/>
        <v>-1.77</v>
      </c>
      <c r="R28" s="17">
        <f>D28+J28+K28+N28+Q28</f>
        <v>31569.620000000003</v>
      </c>
    </row>
    <row r="29" spans="1:18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7"/>
    </row>
    <row r="30" spans="1:18" x14ac:dyDescent="0.25">
      <c r="A30" s="2" t="s">
        <v>19</v>
      </c>
      <c r="B30" s="6">
        <f t="shared" ref="B30:Q30" si="9">B22+B28</f>
        <v>853266.16</v>
      </c>
      <c r="C30" s="6">
        <f t="shared" si="9"/>
        <v>117</v>
      </c>
      <c r="D30" s="6">
        <f t="shared" si="9"/>
        <v>853383.16</v>
      </c>
      <c r="E30" s="6">
        <f t="shared" si="9"/>
        <v>0</v>
      </c>
      <c r="F30" s="6">
        <f t="shared" si="9"/>
        <v>0</v>
      </c>
      <c r="G30" s="6">
        <f t="shared" si="9"/>
        <v>0</v>
      </c>
      <c r="H30" s="6">
        <f t="shared" si="9"/>
        <v>0</v>
      </c>
      <c r="I30" s="6">
        <f t="shared" si="9"/>
        <v>0</v>
      </c>
      <c r="J30" s="6">
        <f t="shared" si="9"/>
        <v>0</v>
      </c>
      <c r="K30" s="6">
        <f t="shared" si="9"/>
        <v>32098.280000000002</v>
      </c>
      <c r="L30" s="6">
        <f t="shared" si="9"/>
        <v>0</v>
      </c>
      <c r="M30" s="6">
        <f t="shared" si="9"/>
        <v>0</v>
      </c>
      <c r="N30" s="6">
        <f t="shared" si="9"/>
        <v>0</v>
      </c>
      <c r="O30" s="6">
        <f t="shared" si="9"/>
        <v>98180.169999999984</v>
      </c>
      <c r="P30" s="6">
        <f t="shared" si="9"/>
        <v>0</v>
      </c>
      <c r="Q30" s="6">
        <f t="shared" si="9"/>
        <v>98180.169999999984</v>
      </c>
      <c r="R30" s="17">
        <f>D30+J30+K30+N30+Q30</f>
        <v>983661.6100000001</v>
      </c>
    </row>
    <row r="31" spans="1:18" x14ac:dyDescent="0.25">
      <c r="B31" s="49" t="str">
        <f>IF(B14=B30,"YES","NO")</f>
        <v>YES</v>
      </c>
      <c r="C31" s="49" t="str">
        <f t="shared" ref="C31:R31" si="10">IF(C14=C30,"YES","NO")</f>
        <v>YES</v>
      </c>
      <c r="D31" s="49" t="str">
        <f t="shared" si="10"/>
        <v>YES</v>
      </c>
      <c r="E31" s="49" t="str">
        <f t="shared" si="10"/>
        <v>YES</v>
      </c>
      <c r="F31" s="49" t="str">
        <f t="shared" si="10"/>
        <v>YES</v>
      </c>
      <c r="G31" s="49" t="str">
        <f t="shared" si="10"/>
        <v>YES</v>
      </c>
      <c r="H31" s="49" t="str">
        <f t="shared" si="10"/>
        <v>YES</v>
      </c>
      <c r="I31" s="49" t="str">
        <f t="shared" si="10"/>
        <v>YES</v>
      </c>
      <c r="J31" s="49" t="str">
        <f t="shared" si="10"/>
        <v>YES</v>
      </c>
      <c r="K31" s="49" t="str">
        <f t="shared" si="10"/>
        <v>YES</v>
      </c>
      <c r="L31" s="49" t="str">
        <f t="shared" si="10"/>
        <v>YES</v>
      </c>
      <c r="M31" s="49" t="str">
        <f t="shared" si="10"/>
        <v>YES</v>
      </c>
      <c r="N31" s="49" t="str">
        <f t="shared" si="10"/>
        <v>YES</v>
      </c>
      <c r="O31" s="49" t="str">
        <f t="shared" si="10"/>
        <v>YES</v>
      </c>
      <c r="P31" s="49" t="str">
        <f t="shared" si="10"/>
        <v>YES</v>
      </c>
      <c r="Q31" s="49" t="str">
        <f t="shared" si="10"/>
        <v>YES</v>
      </c>
      <c r="R31" s="49" t="str">
        <f t="shared" si="10"/>
        <v>YES</v>
      </c>
    </row>
    <row r="32" spans="1:18" x14ac:dyDescent="0.25">
      <c r="A32" s="3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7">
        <f t="shared" ref="R32:R58" si="11">D32+J32+K32+N32+Q32</f>
        <v>0</v>
      </c>
    </row>
    <row r="33" spans="1:18" x14ac:dyDescent="0.25">
      <c r="A33" s="4" t="s">
        <v>21</v>
      </c>
      <c r="B33" s="20">
        <v>7790470.25</v>
      </c>
      <c r="C33" s="20">
        <v>117</v>
      </c>
      <c r="D33" s="6">
        <f>B33+C33</f>
        <v>7790587.25</v>
      </c>
      <c r="E33" s="20"/>
      <c r="F33" s="20"/>
      <c r="G33" s="6">
        <f>E33+F33</f>
        <v>0</v>
      </c>
      <c r="H33" s="20"/>
      <c r="I33" s="20"/>
      <c r="J33" s="6">
        <f>H33+I33</f>
        <v>0</v>
      </c>
      <c r="K33" s="20"/>
      <c r="L33" s="20"/>
      <c r="M33" s="20"/>
      <c r="N33" s="6">
        <f>L33+M33</f>
        <v>0</v>
      </c>
      <c r="O33" s="20">
        <v>906010.06</v>
      </c>
      <c r="P33" s="20"/>
      <c r="Q33" s="6">
        <f>O33+P33</f>
        <v>906010.06</v>
      </c>
      <c r="R33" s="17">
        <f t="shared" ref="R33:R38" si="12">D33+G33+J33+K33+N33+Q33</f>
        <v>8696597.3100000005</v>
      </c>
    </row>
    <row r="34" spans="1:18" x14ac:dyDescent="0.25">
      <c r="A34" s="4" t="s">
        <v>22</v>
      </c>
      <c r="B34" s="20">
        <v>120623.77</v>
      </c>
      <c r="C34" s="20"/>
      <c r="D34" s="6">
        <f>B34+C34</f>
        <v>120623.77</v>
      </c>
      <c r="E34" s="20"/>
      <c r="F34" s="20"/>
      <c r="G34" s="6">
        <f>E34+F34</f>
        <v>0</v>
      </c>
      <c r="H34" s="20"/>
      <c r="I34" s="20"/>
      <c r="J34" s="6">
        <f>H34+I34</f>
        <v>0</v>
      </c>
      <c r="K34" s="20"/>
      <c r="L34" s="20"/>
      <c r="M34" s="20"/>
      <c r="N34" s="6">
        <f>L34+M34</f>
        <v>0</v>
      </c>
      <c r="O34" s="20"/>
      <c r="P34" s="20"/>
      <c r="Q34" s="6">
        <f>O34+P34</f>
        <v>0</v>
      </c>
      <c r="R34" s="17">
        <f t="shared" si="12"/>
        <v>120623.77</v>
      </c>
    </row>
    <row r="35" spans="1:18" x14ac:dyDescent="0.25">
      <c r="A35" s="4" t="s">
        <v>201</v>
      </c>
      <c r="B35" s="20"/>
      <c r="C35" s="20"/>
      <c r="D35" s="6">
        <f>B35+C35</f>
        <v>0</v>
      </c>
      <c r="E35" s="20"/>
      <c r="F35" s="20"/>
      <c r="G35" s="6">
        <f>E35+F35</f>
        <v>0</v>
      </c>
      <c r="H35" s="20"/>
      <c r="I35" s="20"/>
      <c r="J35" s="6">
        <f>H35+I35</f>
        <v>0</v>
      </c>
      <c r="K35" s="20"/>
      <c r="L35" s="20"/>
      <c r="M35" s="20"/>
      <c r="N35" s="6">
        <f>L35+M35</f>
        <v>0</v>
      </c>
      <c r="O35" s="20"/>
      <c r="P35" s="20"/>
      <c r="Q35" s="6">
        <f>O35+P35</f>
        <v>0</v>
      </c>
      <c r="R35" s="17">
        <f t="shared" si="12"/>
        <v>0</v>
      </c>
    </row>
    <row r="36" spans="1:18" x14ac:dyDescent="0.25">
      <c r="A36" s="4" t="s">
        <v>23</v>
      </c>
      <c r="B36" s="20"/>
      <c r="C36" s="20"/>
      <c r="D36" s="6">
        <f>B36+C36</f>
        <v>0</v>
      </c>
      <c r="E36" s="20"/>
      <c r="F36" s="20"/>
      <c r="G36" s="6">
        <f>E36+F36</f>
        <v>0</v>
      </c>
      <c r="H36" s="20"/>
      <c r="I36" s="20"/>
      <c r="J36" s="6">
        <f>H36+I36</f>
        <v>0</v>
      </c>
      <c r="K36" s="20">
        <v>86.17</v>
      </c>
      <c r="L36" s="20"/>
      <c r="M36" s="20"/>
      <c r="N36" s="6">
        <f>L36+M36</f>
        <v>0</v>
      </c>
      <c r="O36" s="20"/>
      <c r="P36" s="20"/>
      <c r="Q36" s="6">
        <f>O36+P36</f>
        <v>0</v>
      </c>
      <c r="R36" s="17">
        <f t="shared" si="12"/>
        <v>86.17</v>
      </c>
    </row>
    <row r="37" spans="1:18" x14ac:dyDescent="0.25">
      <c r="A37" s="4" t="s">
        <v>24</v>
      </c>
      <c r="B37" s="20"/>
      <c r="C37" s="20"/>
      <c r="D37" s="6">
        <f>B37+C37</f>
        <v>0</v>
      </c>
      <c r="E37" s="20"/>
      <c r="F37" s="20"/>
      <c r="G37" s="6">
        <f>E37+F37</f>
        <v>0</v>
      </c>
      <c r="H37" s="20"/>
      <c r="I37" s="20"/>
      <c r="J37" s="6">
        <f>H37+I37</f>
        <v>0</v>
      </c>
      <c r="K37" s="20">
        <v>-4734.04</v>
      </c>
      <c r="L37" s="20"/>
      <c r="M37" s="20"/>
      <c r="N37" s="6">
        <f>L37+M37</f>
        <v>0</v>
      </c>
      <c r="O37" s="20">
        <v>247508</v>
      </c>
      <c r="P37" s="20"/>
      <c r="Q37" s="6">
        <f>O37+P37</f>
        <v>247508</v>
      </c>
      <c r="R37" s="17">
        <f t="shared" si="12"/>
        <v>242773.96</v>
      </c>
    </row>
    <row r="38" spans="1:18" x14ac:dyDescent="0.25">
      <c r="A38" s="2" t="s">
        <v>25</v>
      </c>
      <c r="B38" s="6">
        <f t="shared" ref="B38:Q38" si="13">SUM(B33:B37)</f>
        <v>7911094.0199999996</v>
      </c>
      <c r="C38" s="6">
        <f t="shared" si="13"/>
        <v>117</v>
      </c>
      <c r="D38" s="6">
        <f t="shared" si="13"/>
        <v>7911211.0199999996</v>
      </c>
      <c r="E38" s="6">
        <f t="shared" si="13"/>
        <v>0</v>
      </c>
      <c r="F38" s="6">
        <f t="shared" si="13"/>
        <v>0</v>
      </c>
      <c r="G38" s="6">
        <f t="shared" si="13"/>
        <v>0</v>
      </c>
      <c r="H38" s="6">
        <f t="shared" si="13"/>
        <v>0</v>
      </c>
      <c r="I38" s="6">
        <f t="shared" si="13"/>
        <v>0</v>
      </c>
      <c r="J38" s="6">
        <f t="shared" si="13"/>
        <v>0</v>
      </c>
      <c r="K38" s="6">
        <f t="shared" si="13"/>
        <v>-4647.87</v>
      </c>
      <c r="L38" s="6">
        <f t="shared" si="13"/>
        <v>0</v>
      </c>
      <c r="M38" s="6">
        <f t="shared" si="13"/>
        <v>0</v>
      </c>
      <c r="N38" s="6">
        <f t="shared" si="13"/>
        <v>0</v>
      </c>
      <c r="O38" s="6">
        <f t="shared" si="13"/>
        <v>1153518.06</v>
      </c>
      <c r="P38" s="6">
        <f t="shared" si="13"/>
        <v>0</v>
      </c>
      <c r="Q38" s="6">
        <f t="shared" si="13"/>
        <v>1153518.06</v>
      </c>
      <c r="R38" s="17">
        <f t="shared" si="12"/>
        <v>9060081.209999999</v>
      </c>
    </row>
    <row r="39" spans="1:18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7">
        <f t="shared" si="11"/>
        <v>0</v>
      </c>
    </row>
    <row r="40" spans="1:18" x14ac:dyDescent="0.25">
      <c r="A40" s="3" t="s">
        <v>26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17">
        <f t="shared" si="11"/>
        <v>0</v>
      </c>
    </row>
    <row r="41" spans="1:18" x14ac:dyDescent="0.25">
      <c r="A41" s="4" t="s">
        <v>27</v>
      </c>
      <c r="B41" s="55"/>
      <c r="C41" s="20"/>
      <c r="D41" s="6"/>
      <c r="E41" s="20"/>
      <c r="F41" s="20"/>
      <c r="G41" s="6"/>
      <c r="H41" s="20"/>
      <c r="I41" s="20"/>
      <c r="J41" s="6"/>
      <c r="K41" s="20"/>
      <c r="L41" s="20"/>
      <c r="M41" s="20"/>
      <c r="N41" s="6"/>
      <c r="O41" s="55"/>
      <c r="P41" s="20"/>
      <c r="Q41" s="6"/>
      <c r="R41" s="17">
        <f t="shared" si="11"/>
        <v>0</v>
      </c>
    </row>
    <row r="42" spans="1:18" x14ac:dyDescent="0.25">
      <c r="A42" s="4" t="s">
        <v>28</v>
      </c>
      <c r="B42" s="55"/>
      <c r="C42" s="20"/>
      <c r="D42" s="6">
        <f>B42+C42</f>
        <v>0</v>
      </c>
      <c r="E42" s="20"/>
      <c r="F42" s="20"/>
      <c r="G42" s="6">
        <f>E42+F42</f>
        <v>0</v>
      </c>
      <c r="H42" s="20"/>
      <c r="I42" s="20"/>
      <c r="J42" s="6">
        <f>H42+I42</f>
        <v>0</v>
      </c>
      <c r="K42" s="20"/>
      <c r="L42" s="20"/>
      <c r="M42" s="20"/>
      <c r="N42" s="6">
        <f>L42+M42</f>
        <v>0</v>
      </c>
      <c r="O42" s="55"/>
      <c r="P42" s="20"/>
      <c r="Q42" s="6">
        <f>O42+P42</f>
        <v>0</v>
      </c>
      <c r="R42" s="17">
        <f t="shared" si="11"/>
        <v>0</v>
      </c>
    </row>
    <row r="43" spans="1:18" x14ac:dyDescent="0.25">
      <c r="A43" s="4" t="s">
        <v>29</v>
      </c>
      <c r="B43" s="55"/>
      <c r="C43" s="20"/>
      <c r="D43" s="6">
        <f>B43+C43</f>
        <v>0</v>
      </c>
      <c r="E43" s="20"/>
      <c r="F43" s="20"/>
      <c r="G43" s="6">
        <f>E43+F43</f>
        <v>0</v>
      </c>
      <c r="H43" s="20"/>
      <c r="I43" s="20"/>
      <c r="J43" s="6">
        <f>H43+I43</f>
        <v>0</v>
      </c>
      <c r="K43" s="20"/>
      <c r="L43" s="20"/>
      <c r="M43" s="20"/>
      <c r="N43" s="6">
        <f>L43+M43</f>
        <v>0</v>
      </c>
      <c r="O43" s="55"/>
      <c r="P43" s="20"/>
      <c r="Q43" s="6">
        <f>O43+P43</f>
        <v>0</v>
      </c>
      <c r="R43" s="17">
        <f t="shared" si="11"/>
        <v>0</v>
      </c>
    </row>
    <row r="44" spans="1:18" x14ac:dyDescent="0.25">
      <c r="A44" s="4" t="s">
        <v>30</v>
      </c>
      <c r="B44" s="55"/>
      <c r="C44" s="20"/>
      <c r="D44" s="6">
        <f>B44+C44</f>
        <v>0</v>
      </c>
      <c r="E44" s="20"/>
      <c r="F44" s="20"/>
      <c r="G44" s="6">
        <f>E44+F44</f>
        <v>0</v>
      </c>
      <c r="H44" s="20"/>
      <c r="I44" s="20"/>
      <c r="J44" s="6">
        <f>H44+I44</f>
        <v>0</v>
      </c>
      <c r="K44" s="20"/>
      <c r="L44" s="20"/>
      <c r="M44" s="20"/>
      <c r="N44" s="6">
        <f>L44+M44</f>
        <v>0</v>
      </c>
      <c r="O44" s="55"/>
      <c r="P44" s="20"/>
      <c r="Q44" s="6">
        <f>O44+P44</f>
        <v>0</v>
      </c>
      <c r="R44" s="17">
        <f t="shared" si="11"/>
        <v>0</v>
      </c>
    </row>
    <row r="45" spans="1:18" x14ac:dyDescent="0.25">
      <c r="A45" s="4" t="s">
        <v>31</v>
      </c>
      <c r="B45" s="20">
        <v>8694329.3499999996</v>
      </c>
      <c r="C45" s="20">
        <v>-49</v>
      </c>
      <c r="D45" s="6">
        <f>B45+C45</f>
        <v>8694280.3499999996</v>
      </c>
      <c r="E45" s="20"/>
      <c r="F45" s="20"/>
      <c r="G45" s="6">
        <f>E45+F45</f>
        <v>0</v>
      </c>
      <c r="H45" s="20"/>
      <c r="I45" s="20"/>
      <c r="J45" s="6">
        <f>H45+I45</f>
        <v>0</v>
      </c>
      <c r="K45" s="20"/>
      <c r="L45" s="20"/>
      <c r="M45" s="20"/>
      <c r="N45" s="6">
        <f>L45+M45</f>
        <v>0</v>
      </c>
      <c r="O45" s="20">
        <v>906010.06</v>
      </c>
      <c r="P45" s="20">
        <v>247507.5</v>
      </c>
      <c r="Q45" s="6">
        <f>O45+P45</f>
        <v>1153517.56</v>
      </c>
      <c r="R45" s="17">
        <f t="shared" si="11"/>
        <v>9847797.9100000001</v>
      </c>
    </row>
    <row r="46" spans="1:18" x14ac:dyDescent="0.25">
      <c r="A46" s="4" t="s">
        <v>62</v>
      </c>
      <c r="B46" s="55"/>
      <c r="C46" s="20"/>
      <c r="D46" s="6">
        <f>B46+C46</f>
        <v>0</v>
      </c>
      <c r="E46" s="20"/>
      <c r="F46" s="20"/>
      <c r="G46" s="6">
        <f>E46+F46</f>
        <v>0</v>
      </c>
      <c r="H46" s="20"/>
      <c r="I46" s="20"/>
      <c r="J46" s="6">
        <f>H46+I46</f>
        <v>0</v>
      </c>
      <c r="K46" s="20"/>
      <c r="L46" s="20"/>
      <c r="M46" s="20"/>
      <c r="N46" s="6">
        <f>L46+M46</f>
        <v>0</v>
      </c>
      <c r="O46" s="55"/>
      <c r="P46" s="20"/>
      <c r="Q46" s="6">
        <f>O46+P46</f>
        <v>0</v>
      </c>
      <c r="R46" s="17">
        <f t="shared" si="11"/>
        <v>0</v>
      </c>
    </row>
    <row r="47" spans="1:18" x14ac:dyDescent="0.25">
      <c r="A47" s="2" t="s">
        <v>32</v>
      </c>
      <c r="B47" s="6">
        <f t="shared" ref="B47:Q47" si="14">SUM(B41:B46)</f>
        <v>8694329.3499999996</v>
      </c>
      <c r="C47" s="6">
        <f t="shared" si="14"/>
        <v>-49</v>
      </c>
      <c r="D47" s="6">
        <f t="shared" si="14"/>
        <v>8694280.3499999996</v>
      </c>
      <c r="E47" s="6">
        <f t="shared" si="14"/>
        <v>0</v>
      </c>
      <c r="F47" s="6">
        <f t="shared" si="14"/>
        <v>0</v>
      </c>
      <c r="G47" s="6">
        <f t="shared" si="14"/>
        <v>0</v>
      </c>
      <c r="H47" s="6">
        <f t="shared" si="14"/>
        <v>0</v>
      </c>
      <c r="I47" s="6">
        <f t="shared" si="14"/>
        <v>0</v>
      </c>
      <c r="J47" s="6">
        <f t="shared" si="14"/>
        <v>0</v>
      </c>
      <c r="K47" s="6">
        <f t="shared" si="14"/>
        <v>0</v>
      </c>
      <c r="L47" s="6">
        <f t="shared" si="14"/>
        <v>0</v>
      </c>
      <c r="M47" s="6">
        <f t="shared" si="14"/>
        <v>0</v>
      </c>
      <c r="N47" s="6">
        <f t="shared" si="14"/>
        <v>0</v>
      </c>
      <c r="O47" s="6">
        <f t="shared" si="14"/>
        <v>906010.06</v>
      </c>
      <c r="P47" s="6">
        <f t="shared" si="14"/>
        <v>247507.5</v>
      </c>
      <c r="Q47" s="6">
        <f t="shared" si="14"/>
        <v>1153517.56</v>
      </c>
      <c r="R47" s="17">
        <f t="shared" si="11"/>
        <v>9847797.9100000001</v>
      </c>
    </row>
    <row r="48" spans="1:18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17">
        <f t="shared" si="11"/>
        <v>0</v>
      </c>
    </row>
    <row r="49" spans="1:18" x14ac:dyDescent="0.25">
      <c r="A49" s="2" t="s">
        <v>33</v>
      </c>
      <c r="B49" s="6">
        <f t="shared" ref="B49:Q49" si="15">B38-B47</f>
        <v>-783235.33000000007</v>
      </c>
      <c r="C49" s="6">
        <f t="shared" si="15"/>
        <v>166</v>
      </c>
      <c r="D49" s="6">
        <f t="shared" si="15"/>
        <v>-783069.33000000007</v>
      </c>
      <c r="E49" s="6">
        <f t="shared" si="15"/>
        <v>0</v>
      </c>
      <c r="F49" s="6">
        <f t="shared" si="15"/>
        <v>0</v>
      </c>
      <c r="G49" s="6">
        <f t="shared" si="15"/>
        <v>0</v>
      </c>
      <c r="H49" s="6">
        <f t="shared" si="15"/>
        <v>0</v>
      </c>
      <c r="I49" s="6">
        <f t="shared" si="15"/>
        <v>0</v>
      </c>
      <c r="J49" s="6">
        <f t="shared" si="15"/>
        <v>0</v>
      </c>
      <c r="K49" s="6">
        <f t="shared" si="15"/>
        <v>-4647.87</v>
      </c>
      <c r="L49" s="6">
        <f t="shared" si="15"/>
        <v>0</v>
      </c>
      <c r="M49" s="6">
        <f t="shared" si="15"/>
        <v>0</v>
      </c>
      <c r="N49" s="6">
        <f t="shared" si="15"/>
        <v>0</v>
      </c>
      <c r="O49" s="6">
        <f t="shared" si="15"/>
        <v>247508</v>
      </c>
      <c r="P49" s="6">
        <f t="shared" si="15"/>
        <v>-247507.5</v>
      </c>
      <c r="Q49" s="6">
        <f t="shared" si="15"/>
        <v>0.5</v>
      </c>
      <c r="R49" s="17">
        <f t="shared" si="11"/>
        <v>-787716.70000000007</v>
      </c>
    </row>
    <row r="50" spans="1:18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17">
        <f t="shared" si="11"/>
        <v>0</v>
      </c>
    </row>
    <row r="51" spans="1:18" x14ac:dyDescent="0.25">
      <c r="A51" t="s">
        <v>300</v>
      </c>
      <c r="B51" s="20">
        <v>3060</v>
      </c>
      <c r="C51" s="20"/>
      <c r="D51" s="6">
        <f>B51+C51</f>
        <v>3060</v>
      </c>
      <c r="E51" s="20"/>
      <c r="F51" s="20"/>
      <c r="G51" s="6">
        <f>E51+F51</f>
        <v>0</v>
      </c>
      <c r="H51" s="20"/>
      <c r="I51" s="20"/>
      <c r="J51" s="6">
        <f>H51+I51</f>
        <v>0</v>
      </c>
      <c r="K51" s="20"/>
      <c r="L51" s="20"/>
      <c r="M51" s="20"/>
      <c r="N51" s="6">
        <f>L51+M51</f>
        <v>0</v>
      </c>
      <c r="O51" s="20"/>
      <c r="P51" s="20"/>
      <c r="Q51" s="6">
        <f>O51+P51</f>
        <v>0</v>
      </c>
      <c r="R51" s="17">
        <f t="shared" si="11"/>
        <v>3060</v>
      </c>
    </row>
    <row r="52" spans="1:18" x14ac:dyDescent="0.25">
      <c r="A52" t="s">
        <v>34</v>
      </c>
      <c r="B52" s="20">
        <v>1200040</v>
      </c>
      <c r="C52" s="20"/>
      <c r="D52" s="6">
        <f>B52+C52</f>
        <v>1200040</v>
      </c>
      <c r="E52" s="20"/>
      <c r="F52" s="20"/>
      <c r="G52" s="6">
        <f>E52+F52</f>
        <v>0</v>
      </c>
      <c r="H52" s="20"/>
      <c r="I52" s="20"/>
      <c r="J52" s="6">
        <f>H52+I52</f>
        <v>0</v>
      </c>
      <c r="K52" s="20"/>
      <c r="L52" s="20"/>
      <c r="M52" s="20"/>
      <c r="N52" s="6">
        <f>L52+M52</f>
        <v>0</v>
      </c>
      <c r="O52" s="20"/>
      <c r="P52" s="20"/>
      <c r="Q52" s="6">
        <f>O52+P52</f>
        <v>0</v>
      </c>
      <c r="R52" s="17">
        <f t="shared" si="11"/>
        <v>1200040</v>
      </c>
    </row>
    <row r="53" spans="1:18" x14ac:dyDescent="0.25">
      <c r="A53" t="s">
        <v>35</v>
      </c>
      <c r="B53" s="20">
        <v>420026.67</v>
      </c>
      <c r="C53" s="20"/>
      <c r="D53" s="6">
        <f>B53+C53</f>
        <v>420026.67</v>
      </c>
      <c r="E53" s="20"/>
      <c r="F53" s="20"/>
      <c r="G53" s="6">
        <f>E53+F53</f>
        <v>0</v>
      </c>
      <c r="H53" s="20"/>
      <c r="I53" s="20"/>
      <c r="J53" s="6">
        <f>H53+I53</f>
        <v>0</v>
      </c>
      <c r="K53" s="20"/>
      <c r="L53" s="20"/>
      <c r="M53" s="20"/>
      <c r="N53" s="6">
        <f>L53+M53</f>
        <v>0</v>
      </c>
      <c r="O53" s="20">
        <v>247507.5</v>
      </c>
      <c r="P53" s="20">
        <v>-247507.5</v>
      </c>
      <c r="Q53" s="6">
        <f>O53+P53</f>
        <v>0</v>
      </c>
      <c r="R53" s="17">
        <f t="shared" si="11"/>
        <v>420026.67</v>
      </c>
    </row>
    <row r="54" spans="1:18" x14ac:dyDescent="0.25">
      <c r="A54" s="2" t="s">
        <v>36</v>
      </c>
      <c r="B54" s="6">
        <f>B51+B52-B53</f>
        <v>783073.33000000007</v>
      </c>
      <c r="C54" s="6">
        <f>C51+C52-C53</f>
        <v>0</v>
      </c>
      <c r="D54" s="6">
        <f>B54+C54</f>
        <v>783073.33000000007</v>
      </c>
      <c r="E54" s="6">
        <f>E51+E52-E53</f>
        <v>0</v>
      </c>
      <c r="F54" s="6">
        <f>F51+F52-F53</f>
        <v>0</v>
      </c>
      <c r="G54" s="6">
        <f>E54+F54</f>
        <v>0</v>
      </c>
      <c r="H54" s="6">
        <f>H51+H52-H53</f>
        <v>0</v>
      </c>
      <c r="I54" s="6">
        <f>I51+I52-I53</f>
        <v>0</v>
      </c>
      <c r="J54" s="6">
        <f>H54+I54</f>
        <v>0</v>
      </c>
      <c r="K54" s="6">
        <f>K51+K52-K53</f>
        <v>0</v>
      </c>
      <c r="L54" s="6">
        <f>L51+L52-L53</f>
        <v>0</v>
      </c>
      <c r="M54" s="6">
        <f>M51+M52-M53</f>
        <v>0</v>
      </c>
      <c r="N54" s="6">
        <f>L54+M54</f>
        <v>0</v>
      </c>
      <c r="O54" s="6">
        <f>O51+O52-O53</f>
        <v>-247507.5</v>
      </c>
      <c r="P54" s="6">
        <f>P51+P52-P53</f>
        <v>247507.5</v>
      </c>
      <c r="Q54" s="6">
        <f>O54+P54</f>
        <v>0</v>
      </c>
      <c r="R54" s="17">
        <f t="shared" si="11"/>
        <v>783073.33000000007</v>
      </c>
    </row>
    <row r="55" spans="1:18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17">
        <f t="shared" si="11"/>
        <v>0</v>
      </c>
    </row>
    <row r="56" spans="1:18" x14ac:dyDescent="0.25">
      <c r="A56" s="2" t="s">
        <v>37</v>
      </c>
      <c r="B56" s="29">
        <f t="shared" ref="B56:Q56" si="16">B49+B54</f>
        <v>-162</v>
      </c>
      <c r="C56" s="29">
        <f t="shared" si="16"/>
        <v>166</v>
      </c>
      <c r="D56" s="6">
        <f t="shared" si="16"/>
        <v>4</v>
      </c>
      <c r="E56" s="6">
        <f t="shared" si="16"/>
        <v>0</v>
      </c>
      <c r="F56" s="6">
        <f t="shared" si="16"/>
        <v>0</v>
      </c>
      <c r="G56" s="6">
        <f t="shared" si="16"/>
        <v>0</v>
      </c>
      <c r="H56" s="29">
        <f t="shared" si="16"/>
        <v>0</v>
      </c>
      <c r="I56" s="29">
        <f t="shared" si="16"/>
        <v>0</v>
      </c>
      <c r="J56" s="6">
        <f t="shared" si="16"/>
        <v>0</v>
      </c>
      <c r="K56" s="29">
        <f t="shared" si="16"/>
        <v>-4647.87</v>
      </c>
      <c r="L56" s="29">
        <f t="shared" si="16"/>
        <v>0</v>
      </c>
      <c r="M56" s="29">
        <f t="shared" si="16"/>
        <v>0</v>
      </c>
      <c r="N56" s="6">
        <f t="shared" si="16"/>
        <v>0</v>
      </c>
      <c r="O56" s="29">
        <f t="shared" si="16"/>
        <v>0.5</v>
      </c>
      <c r="P56" s="29">
        <f t="shared" si="16"/>
        <v>0</v>
      </c>
      <c r="Q56" s="6">
        <f t="shared" si="16"/>
        <v>0.5</v>
      </c>
      <c r="R56" s="17">
        <f>D56+J56+K56+N56+Q56</f>
        <v>-4643.37</v>
      </c>
    </row>
    <row r="57" spans="1:18" x14ac:dyDescent="0.25">
      <c r="A57" t="s">
        <v>38</v>
      </c>
      <c r="B57" s="6">
        <f t="shared" ref="B57:Q57" si="17">B58-B56</f>
        <v>44.399999999999977</v>
      </c>
      <c r="C57" s="6">
        <f t="shared" si="17"/>
        <v>-49</v>
      </c>
      <c r="D57" s="6">
        <f t="shared" si="17"/>
        <v>-4.6000000000000227</v>
      </c>
      <c r="E57" s="6">
        <f t="shared" si="17"/>
        <v>0</v>
      </c>
      <c r="F57" s="6">
        <f t="shared" si="17"/>
        <v>0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  <c r="K57" s="6">
        <f t="shared" si="17"/>
        <v>36219.86</v>
      </c>
      <c r="L57" s="6">
        <f t="shared" si="17"/>
        <v>0</v>
      </c>
      <c r="M57" s="6">
        <f t="shared" si="17"/>
        <v>0</v>
      </c>
      <c r="N57" s="6">
        <f t="shared" si="17"/>
        <v>0</v>
      </c>
      <c r="O57" s="6">
        <f t="shared" si="17"/>
        <v>-2.27</v>
      </c>
      <c r="P57" s="6">
        <f t="shared" si="17"/>
        <v>0</v>
      </c>
      <c r="Q57" s="6">
        <f t="shared" si="17"/>
        <v>-2.27</v>
      </c>
      <c r="R57" s="17">
        <f t="shared" si="11"/>
        <v>36212.990000000005</v>
      </c>
    </row>
    <row r="58" spans="1:18" x14ac:dyDescent="0.25">
      <c r="A58" s="2" t="s">
        <v>39</v>
      </c>
      <c r="B58" s="6">
        <f t="shared" ref="B58:Q58" si="18">B28</f>
        <v>-117.60000000000002</v>
      </c>
      <c r="C58" s="6">
        <f t="shared" si="18"/>
        <v>117</v>
      </c>
      <c r="D58" s="6">
        <f t="shared" si="18"/>
        <v>-0.60000000000002274</v>
      </c>
      <c r="E58" s="6">
        <f t="shared" si="18"/>
        <v>0</v>
      </c>
      <c r="F58" s="6">
        <f t="shared" si="18"/>
        <v>0</v>
      </c>
      <c r="G58" s="6">
        <f t="shared" si="18"/>
        <v>0</v>
      </c>
      <c r="H58" s="6">
        <f t="shared" si="18"/>
        <v>0</v>
      </c>
      <c r="I58" s="6">
        <f t="shared" si="18"/>
        <v>0</v>
      </c>
      <c r="J58" s="6">
        <f t="shared" si="18"/>
        <v>0</v>
      </c>
      <c r="K58" s="6">
        <f t="shared" si="18"/>
        <v>31571.99</v>
      </c>
      <c r="L58" s="6">
        <f t="shared" si="18"/>
        <v>0</v>
      </c>
      <c r="M58" s="6">
        <f t="shared" si="18"/>
        <v>0</v>
      </c>
      <c r="N58" s="6">
        <f t="shared" si="18"/>
        <v>0</v>
      </c>
      <c r="O58" s="6">
        <f t="shared" si="18"/>
        <v>-1.77</v>
      </c>
      <c r="P58" s="6">
        <f t="shared" si="18"/>
        <v>0</v>
      </c>
      <c r="Q58" s="6">
        <f t="shared" si="18"/>
        <v>-1.77</v>
      </c>
      <c r="R58" s="17">
        <f t="shared" si="11"/>
        <v>31569.620000000003</v>
      </c>
    </row>
  </sheetData>
  <sheetProtection sheet="1" objects="1" scenarios="1"/>
  <customSheetViews>
    <customSheetView guid="{E68B3865-8D72-47E7-BE32-0FF7EB09E889}" scale="80" fitToPage="1" hiddenColumns="1">
      <pane xSplit="1" ySplit="5" topLeftCell="B30" activePane="bottomRight" state="frozen"/>
      <selection pane="bottomRight" activeCell="O66" sqref="O66"/>
      <pageMargins left="0.7" right="0.7" top="0.75" bottom="0.75" header="0.3" footer="0.3"/>
      <pageSetup scale="57" orientation="landscape" r:id="rId1"/>
    </customSheetView>
    <customSheetView guid="{DE6E911D-85BF-467A-AA00-1E84C5349CF7}" scale="80" fitToPage="1" hiddenColumns="1">
      <pane xSplit="1" ySplit="5" topLeftCell="B30" activePane="bottomRight" state="frozen"/>
      <selection pane="bottomRight" activeCell="O66" sqref="O66"/>
      <pageMargins left="0.7" right="0.7" top="0.75" bottom="0.75" header="0.3" footer="0.3"/>
      <pageSetup scale="57" orientation="landscape" r:id="rId2"/>
    </customSheetView>
    <customSheetView guid="{A6F79E61-D6A3-44FD-B4A4-4724DF74349B}" showPageBreaks="1" fitToPage="1">
      <pane xSplit="1" ySplit="5" topLeftCell="B33" activePane="bottomRight" state="frozen"/>
      <selection pane="bottomRight" activeCell="C26" sqref="C26"/>
      <pageMargins left="0.7" right="0.7" top="0.75" bottom="0.75" header="0.3" footer="0.3"/>
      <pageSetup scale="49" orientation="landscape" horizontalDpi="1200" r:id="rId3"/>
    </customSheetView>
    <customSheetView guid="{EC03C3C8-7E57-47C6-8413-F484E8C46A0C}" showPageBreaks="1" fitToPage="1">
      <pane xSplit="1" ySplit="5" topLeftCell="G43" activePane="bottomRight" state="frozen"/>
      <selection pane="bottomRight" activeCell="R50" sqref="R50"/>
      <pageMargins left="0.7" right="0.7" top="0.75" bottom="0.75" header="0.3" footer="0.3"/>
      <pageSetup scale="51" orientation="landscape" horizontalDpi="1200" r:id="rId4"/>
    </customSheetView>
    <customSheetView guid="{2B2709E2-6DF4-4CC4-88D0-056FB306137C}" fitToPage="1">
      <pane xSplit="1" ySplit="5" topLeftCell="B6" activePane="bottomRight" state="frozen"/>
      <selection pane="bottomRight" activeCell="C10" sqref="C10"/>
      <pageMargins left="0.7" right="0.7" top="0.75" bottom="0.75" header="0.3" footer="0.3"/>
      <pageSetup scale="51" orientation="landscape" horizontalDpi="1200" r:id="rId5"/>
    </customSheetView>
  </customSheetViews>
  <pageMargins left="0.7" right="0.7" top="0.75" bottom="0.75" header="0.3" footer="0.3"/>
  <pageSetup scale="56" orientation="landscape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zoomScale="80" zoomScaleNormal="8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C12" sqref="C12"/>
    </sheetView>
  </sheetViews>
  <sheetFormatPr defaultRowHeight="15" outlineLevelCol="1" x14ac:dyDescent="0.25"/>
  <cols>
    <col min="1" max="1" width="31" customWidth="1"/>
    <col min="2" max="2" width="14.42578125" style="6" bestFit="1" customWidth="1" outlineLevel="1"/>
    <col min="3" max="3" width="12.7109375" style="6" customWidth="1" outlineLevel="1"/>
    <col min="4" max="4" width="13.5703125" style="6" bestFit="1" customWidth="1"/>
    <col min="5" max="5" width="13.5703125" style="6" customWidth="1"/>
    <col min="6" max="6" width="14" style="6" customWidth="1" outlineLevel="1"/>
    <col min="7" max="7" width="12.7109375" style="6" customWidth="1" outlineLevel="1"/>
    <col min="8" max="9" width="13.5703125" style="6" bestFit="1" customWidth="1"/>
    <col min="10" max="11" width="11.85546875" style="6" customWidth="1"/>
    <col min="12" max="12" width="14" style="6" customWidth="1"/>
    <col min="13" max="14" width="11.140625" style="6" bestFit="1" customWidth="1"/>
    <col min="15" max="15" width="9.140625" style="6"/>
    <col min="16" max="16" width="13.5703125" style="6" bestFit="1" customWidth="1"/>
    <col min="17" max="17" width="12.7109375" bestFit="1" customWidth="1"/>
  </cols>
  <sheetData>
    <row r="1" spans="1:16" ht="23.25" x14ac:dyDescent="0.35">
      <c r="A1" s="5" t="s">
        <v>275</v>
      </c>
    </row>
    <row r="2" spans="1:16" x14ac:dyDescent="0.25">
      <c r="A2" t="s">
        <v>1</v>
      </c>
    </row>
    <row r="3" spans="1:16" x14ac:dyDescent="0.25">
      <c r="A3" s="1">
        <f>'ALL GOVERNMENT FUNDS'!A3</f>
        <v>43830</v>
      </c>
    </row>
    <row r="4" spans="1:16" x14ac:dyDescent="0.25">
      <c r="A4" s="1"/>
    </row>
    <row r="5" spans="1:16" ht="45" x14ac:dyDescent="0.25">
      <c r="A5" s="1"/>
      <c r="B5" s="7" t="s">
        <v>274</v>
      </c>
      <c r="C5" s="7" t="s">
        <v>47</v>
      </c>
      <c r="D5" s="7" t="s">
        <v>273</v>
      </c>
      <c r="E5" s="7" t="s">
        <v>272</v>
      </c>
      <c r="F5" s="7" t="s">
        <v>271</v>
      </c>
      <c r="G5" s="7" t="s">
        <v>47</v>
      </c>
      <c r="H5" s="7" t="s">
        <v>270</v>
      </c>
      <c r="I5" s="18" t="s">
        <v>269</v>
      </c>
      <c r="J5" s="7"/>
      <c r="K5" s="7"/>
      <c r="L5" s="7"/>
      <c r="M5" s="7"/>
      <c r="N5" s="7"/>
      <c r="O5" s="7"/>
      <c r="P5" s="7"/>
    </row>
    <row r="6" spans="1:16" x14ac:dyDescent="0.25">
      <c r="I6" s="17"/>
    </row>
    <row r="7" spans="1:16" x14ac:dyDescent="0.25">
      <c r="A7" s="3" t="s">
        <v>2</v>
      </c>
      <c r="I7" s="17"/>
    </row>
    <row r="8" spans="1:16" x14ac:dyDescent="0.25">
      <c r="A8" s="4" t="s">
        <v>3</v>
      </c>
      <c r="B8" s="20">
        <v>18894.759999999998</v>
      </c>
      <c r="C8" s="20"/>
      <c r="D8" s="6">
        <f t="shared" ref="D8:D13" si="0">B8+C8</f>
        <v>18894.759999999998</v>
      </c>
      <c r="E8" s="20">
        <v>293337.87</v>
      </c>
      <c r="F8" s="20">
        <v>0</v>
      </c>
      <c r="G8" s="190"/>
      <c r="H8" s="6">
        <f t="shared" ref="H8:H13" si="1">F8+G8</f>
        <v>0</v>
      </c>
      <c r="I8" s="17">
        <f>D8+E8+H8</f>
        <v>312232.63</v>
      </c>
    </row>
    <row r="9" spans="1:16" x14ac:dyDescent="0.25">
      <c r="A9" s="4" t="s">
        <v>189</v>
      </c>
      <c r="B9" s="20"/>
      <c r="C9" s="20"/>
      <c r="D9" s="6">
        <f t="shared" si="0"/>
        <v>0</v>
      </c>
      <c r="E9" s="20"/>
      <c r="F9" s="20"/>
      <c r="G9" s="20"/>
      <c r="H9" s="6">
        <f t="shared" si="1"/>
        <v>0</v>
      </c>
      <c r="I9" s="17"/>
    </row>
    <row r="10" spans="1:16" x14ac:dyDescent="0.25">
      <c r="A10" s="4" t="s">
        <v>4</v>
      </c>
      <c r="B10" s="20">
        <f>203055.17-4809.12</f>
        <v>198246.05000000002</v>
      </c>
      <c r="C10" s="20"/>
      <c r="D10" s="6">
        <f t="shared" si="0"/>
        <v>198246.05000000002</v>
      </c>
      <c r="E10" s="20"/>
      <c r="F10" s="20"/>
      <c r="G10" s="20"/>
      <c r="H10" s="6">
        <f t="shared" si="1"/>
        <v>0</v>
      </c>
      <c r="I10" s="17">
        <f>D10+E10+H10</f>
        <v>198246.05000000002</v>
      </c>
    </row>
    <row r="11" spans="1:16" x14ac:dyDescent="0.25">
      <c r="A11" s="4" t="s">
        <v>6</v>
      </c>
      <c r="B11" s="20"/>
      <c r="C11" s="20">
        <v>7143.85</v>
      </c>
      <c r="D11" s="6">
        <f t="shared" si="0"/>
        <v>7143.85</v>
      </c>
      <c r="E11" s="20">
        <v>2189.9299999999998</v>
      </c>
      <c r="F11" s="20"/>
      <c r="G11" s="20"/>
      <c r="H11" s="6">
        <f t="shared" si="1"/>
        <v>0</v>
      </c>
      <c r="I11" s="17">
        <f>D11+E11+H11</f>
        <v>9333.7800000000007</v>
      </c>
    </row>
    <row r="12" spans="1:16" x14ac:dyDescent="0.25">
      <c r="A12" s="4" t="s">
        <v>5</v>
      </c>
      <c r="B12" s="20">
        <v>4809.12</v>
      </c>
      <c r="C12" s="20"/>
      <c r="D12" s="6">
        <f t="shared" si="0"/>
        <v>4809.12</v>
      </c>
      <c r="E12" s="20"/>
      <c r="F12" s="20"/>
      <c r="G12" s="20"/>
      <c r="H12" s="6">
        <f t="shared" si="1"/>
        <v>0</v>
      </c>
      <c r="I12" s="17">
        <f>D12+E12+H12</f>
        <v>4809.12</v>
      </c>
    </row>
    <row r="13" spans="1:16" x14ac:dyDescent="0.25">
      <c r="A13" s="4" t="s">
        <v>61</v>
      </c>
      <c r="B13" s="20">
        <v>7143.85</v>
      </c>
      <c r="C13" s="20">
        <v>-7143.85</v>
      </c>
      <c r="D13" s="6">
        <f t="shared" si="0"/>
        <v>0</v>
      </c>
      <c r="E13" s="20"/>
      <c r="F13" s="20"/>
      <c r="G13" s="20"/>
      <c r="H13" s="6">
        <f t="shared" si="1"/>
        <v>0</v>
      </c>
      <c r="I13" s="17">
        <f>D13+E13+H13</f>
        <v>0</v>
      </c>
    </row>
    <row r="14" spans="1:16" x14ac:dyDescent="0.25">
      <c r="A14" s="2" t="s">
        <v>7</v>
      </c>
      <c r="B14" s="6">
        <f t="shared" ref="B14:H14" si="2">SUM(B8:B13)</f>
        <v>229093.78000000003</v>
      </c>
      <c r="C14" s="6">
        <f t="shared" si="2"/>
        <v>0</v>
      </c>
      <c r="D14" s="6">
        <f t="shared" si="2"/>
        <v>229093.78000000003</v>
      </c>
      <c r="E14" s="6">
        <f t="shared" si="2"/>
        <v>295527.8</v>
      </c>
      <c r="F14" s="6">
        <f t="shared" si="2"/>
        <v>0</v>
      </c>
      <c r="G14" s="6">
        <f t="shared" si="2"/>
        <v>0</v>
      </c>
      <c r="H14" s="6">
        <f t="shared" si="2"/>
        <v>0</v>
      </c>
      <c r="I14" s="17">
        <f>D14+E14+H14</f>
        <v>524621.58000000007</v>
      </c>
    </row>
    <row r="15" spans="1:16" x14ac:dyDescent="0.25">
      <c r="I15" s="17"/>
    </row>
    <row r="16" spans="1:16" x14ac:dyDescent="0.25">
      <c r="A16" s="3" t="s">
        <v>8</v>
      </c>
      <c r="I16" s="17"/>
    </row>
    <row r="17" spans="1:17" x14ac:dyDescent="0.25">
      <c r="A17" s="4" t="s">
        <v>9</v>
      </c>
      <c r="B17" s="20">
        <v>47589.18</v>
      </c>
      <c r="C17" s="20"/>
      <c r="D17" s="6">
        <f>B17+C17</f>
        <v>47589.18</v>
      </c>
      <c r="E17" s="20">
        <v>336</v>
      </c>
      <c r="F17" s="20"/>
      <c r="G17" s="20"/>
      <c r="H17" s="6">
        <f>F17+G17</f>
        <v>0</v>
      </c>
      <c r="I17" s="17">
        <f t="shared" ref="I17:I22" si="3">D17+E17+H17</f>
        <v>47925.18</v>
      </c>
    </row>
    <row r="18" spans="1:17" s="6" customFormat="1" x14ac:dyDescent="0.25">
      <c r="A18" s="4" t="s">
        <v>10</v>
      </c>
      <c r="B18" s="20">
        <v>31983.91</v>
      </c>
      <c r="C18" s="20"/>
      <c r="D18" s="6">
        <f>B18+C18</f>
        <v>31983.91</v>
      </c>
      <c r="E18" s="20"/>
      <c r="F18" s="20"/>
      <c r="G18" s="20"/>
      <c r="H18" s="6">
        <f>F18+G18</f>
        <v>0</v>
      </c>
      <c r="I18" s="17">
        <f t="shared" si="3"/>
        <v>31983.91</v>
      </c>
      <c r="Q18"/>
    </row>
    <row r="19" spans="1:17" s="6" customFormat="1" x14ac:dyDescent="0.25">
      <c r="A19" s="4" t="s">
        <v>190</v>
      </c>
      <c r="B19" s="20"/>
      <c r="C19" s="20"/>
      <c r="D19" s="6">
        <f>B19+C19</f>
        <v>0</v>
      </c>
      <c r="E19" s="20"/>
      <c r="F19" s="20"/>
      <c r="G19" s="20"/>
      <c r="H19" s="6">
        <f>F19+G19</f>
        <v>0</v>
      </c>
      <c r="I19" s="17">
        <f t="shared" si="3"/>
        <v>0</v>
      </c>
      <c r="Q19"/>
    </row>
    <row r="20" spans="1:17" s="6" customFormat="1" x14ac:dyDescent="0.25">
      <c r="A20" s="4" t="s">
        <v>11</v>
      </c>
      <c r="B20" s="20"/>
      <c r="C20" s="20"/>
      <c r="D20" s="6">
        <f>B20+C20</f>
        <v>0</v>
      </c>
      <c r="E20" s="20"/>
      <c r="F20" s="20"/>
      <c r="G20" s="20"/>
      <c r="H20" s="6">
        <f>F20+G20</f>
        <v>0</v>
      </c>
      <c r="I20" s="17">
        <f t="shared" si="3"/>
        <v>0</v>
      </c>
      <c r="Q20"/>
    </row>
    <row r="21" spans="1:17" s="6" customFormat="1" x14ac:dyDescent="0.25">
      <c r="A21" s="4" t="s">
        <v>12</v>
      </c>
      <c r="B21" s="20">
        <v>149519.09</v>
      </c>
      <c r="C21" s="20"/>
      <c r="D21" s="6">
        <f>B21+C21</f>
        <v>149519.09</v>
      </c>
      <c r="E21" s="20"/>
      <c r="F21" s="20"/>
      <c r="G21" s="20"/>
      <c r="H21" s="6">
        <f>F21+G21</f>
        <v>0</v>
      </c>
      <c r="I21" s="17">
        <f t="shared" si="3"/>
        <v>149519.09</v>
      </c>
      <c r="Q21"/>
    </row>
    <row r="22" spans="1:17" s="6" customFormat="1" x14ac:dyDescent="0.25">
      <c r="A22" s="2" t="s">
        <v>13</v>
      </c>
      <c r="B22" s="6">
        <f t="shared" ref="B22:H22" si="4">SUM(B17:B21)</f>
        <v>229092.18</v>
      </c>
      <c r="C22" s="6">
        <f t="shared" si="4"/>
        <v>0</v>
      </c>
      <c r="D22" s="6">
        <f t="shared" si="4"/>
        <v>229092.18</v>
      </c>
      <c r="E22" s="6">
        <f t="shared" si="4"/>
        <v>336</v>
      </c>
      <c r="F22" s="6">
        <f t="shared" si="4"/>
        <v>0</v>
      </c>
      <c r="G22" s="6">
        <f t="shared" si="4"/>
        <v>0</v>
      </c>
      <c r="H22" s="6">
        <f t="shared" si="4"/>
        <v>0</v>
      </c>
      <c r="I22" s="17">
        <f t="shared" si="3"/>
        <v>229428.18</v>
      </c>
      <c r="Q22"/>
    </row>
    <row r="23" spans="1:17" s="6" customFormat="1" x14ac:dyDescent="0.25">
      <c r="A23"/>
      <c r="I23" s="17"/>
      <c r="Q23"/>
    </row>
    <row r="24" spans="1:17" s="6" customFormat="1" x14ac:dyDescent="0.25">
      <c r="A24" s="3" t="s">
        <v>14</v>
      </c>
      <c r="I24" s="17"/>
      <c r="Q24"/>
    </row>
    <row r="25" spans="1:17" s="6" customFormat="1" x14ac:dyDescent="0.25">
      <c r="A25" s="4" t="s">
        <v>15</v>
      </c>
      <c r="B25" s="20"/>
      <c r="C25" s="20"/>
      <c r="D25" s="6">
        <f>B25+C25</f>
        <v>0</v>
      </c>
      <c r="E25" s="20"/>
      <c r="F25" s="20"/>
      <c r="G25" s="20"/>
      <c r="H25" s="6">
        <f>F25+G25</f>
        <v>0</v>
      </c>
      <c r="I25" s="17">
        <f>D25+E25+H25</f>
        <v>0</v>
      </c>
      <c r="Q25"/>
    </row>
    <row r="26" spans="1:17" s="6" customFormat="1" x14ac:dyDescent="0.25">
      <c r="A26" s="4" t="s">
        <v>16</v>
      </c>
      <c r="B26" s="191"/>
      <c r="C26" s="20"/>
      <c r="D26" s="6">
        <f>B26+C26</f>
        <v>0</v>
      </c>
      <c r="E26" s="20"/>
      <c r="F26" s="20"/>
      <c r="G26" s="20"/>
      <c r="H26" s="6">
        <f>F26+G26</f>
        <v>0</v>
      </c>
      <c r="I26" s="17">
        <f>D26+E26+H26</f>
        <v>0</v>
      </c>
      <c r="Q26"/>
    </row>
    <row r="27" spans="1:17" s="6" customFormat="1" x14ac:dyDescent="0.25">
      <c r="A27" s="4" t="s">
        <v>17</v>
      </c>
      <c r="B27" s="20">
        <v>1.6</v>
      </c>
      <c r="C27" s="20"/>
      <c r="D27" s="6">
        <f>B27+C27</f>
        <v>1.6</v>
      </c>
      <c r="E27" s="20">
        <v>295191.8</v>
      </c>
      <c r="F27" s="20"/>
      <c r="G27" s="20"/>
      <c r="H27" s="6">
        <f>F27+G27</f>
        <v>0</v>
      </c>
      <c r="I27" s="17">
        <f>D27+E27+H27</f>
        <v>295193.39999999997</v>
      </c>
      <c r="Q27"/>
    </row>
    <row r="28" spans="1:17" s="6" customFormat="1" x14ac:dyDescent="0.25">
      <c r="A28" s="2" t="s">
        <v>18</v>
      </c>
      <c r="B28" s="6">
        <f t="shared" ref="B28:H28" si="5">SUM(B25:B27)</f>
        <v>1.6</v>
      </c>
      <c r="C28" s="6">
        <f t="shared" si="5"/>
        <v>0</v>
      </c>
      <c r="D28" s="6">
        <f t="shared" si="5"/>
        <v>1.6</v>
      </c>
      <c r="E28" s="6">
        <f t="shared" si="5"/>
        <v>295191.8</v>
      </c>
      <c r="F28" s="6">
        <f t="shared" si="5"/>
        <v>0</v>
      </c>
      <c r="G28" s="6">
        <f t="shared" si="5"/>
        <v>0</v>
      </c>
      <c r="H28" s="6">
        <f t="shared" si="5"/>
        <v>0</v>
      </c>
      <c r="I28" s="17">
        <f>D28+E28+H28</f>
        <v>295193.39999999997</v>
      </c>
      <c r="Q28"/>
    </row>
    <row r="29" spans="1:17" s="6" customFormat="1" x14ac:dyDescent="0.25">
      <c r="A29"/>
      <c r="I29" s="17"/>
      <c r="Q29"/>
    </row>
    <row r="30" spans="1:17" s="6" customFormat="1" x14ac:dyDescent="0.25">
      <c r="A30" s="2" t="s">
        <v>19</v>
      </c>
      <c r="B30" s="6">
        <f>B22+B28</f>
        <v>229093.78</v>
      </c>
      <c r="C30" s="6">
        <f>SUM(C22+C28)</f>
        <v>0</v>
      </c>
      <c r="D30" s="6">
        <f>D22+D28</f>
        <v>229093.78</v>
      </c>
      <c r="E30" s="6">
        <f>E28+E22</f>
        <v>295527.8</v>
      </c>
      <c r="F30" s="6">
        <f>F22+F28</f>
        <v>0</v>
      </c>
      <c r="G30" s="6">
        <f>SUM(G22+G28)</f>
        <v>0</v>
      </c>
      <c r="H30" s="6">
        <f>H22+H28</f>
        <v>0</v>
      </c>
      <c r="I30" s="17">
        <f>D30+E30+H30</f>
        <v>524621.57999999996</v>
      </c>
      <c r="Q30"/>
    </row>
    <row r="31" spans="1:17" s="6" customFormat="1" x14ac:dyDescent="0.25">
      <c r="A31"/>
      <c r="B31" s="49" t="str">
        <f>IF(B14=B30,"YES","NO")</f>
        <v>YES</v>
      </c>
      <c r="C31" s="49" t="str">
        <f t="shared" ref="C31:I31" si="6">IF(C14=C30,"YES","NO")</f>
        <v>YES</v>
      </c>
      <c r="D31" s="49" t="str">
        <f t="shared" si="6"/>
        <v>YES</v>
      </c>
      <c r="E31" s="49" t="str">
        <f t="shared" si="6"/>
        <v>YES</v>
      </c>
      <c r="F31" s="49" t="str">
        <f t="shared" si="6"/>
        <v>YES</v>
      </c>
      <c r="G31" s="49" t="str">
        <f t="shared" si="6"/>
        <v>YES</v>
      </c>
      <c r="H31" s="49" t="str">
        <f t="shared" si="6"/>
        <v>YES</v>
      </c>
      <c r="I31" s="49" t="str">
        <f t="shared" si="6"/>
        <v>YES</v>
      </c>
      <c r="Q31"/>
    </row>
    <row r="32" spans="1:17" s="6" customFormat="1" x14ac:dyDescent="0.25">
      <c r="A32" s="3" t="s">
        <v>20</v>
      </c>
      <c r="I32" s="17"/>
      <c r="Q32"/>
    </row>
    <row r="33" spans="1:17" s="6" customFormat="1" x14ac:dyDescent="0.25">
      <c r="A33" s="4" t="s">
        <v>21</v>
      </c>
      <c r="B33" s="20">
        <v>992313.97</v>
      </c>
      <c r="C33" s="20"/>
      <c r="D33" s="6">
        <f>B33+C33</f>
        <v>992313.97</v>
      </c>
      <c r="E33" s="20"/>
      <c r="F33" s="20"/>
      <c r="G33" s="20"/>
      <c r="H33" s="6">
        <f>F33+G33</f>
        <v>0</v>
      </c>
      <c r="I33" s="17">
        <f t="shared" ref="I33:I38" si="7">D33+E33+H33</f>
        <v>992313.97</v>
      </c>
      <c r="Q33"/>
    </row>
    <row r="34" spans="1:17" s="6" customFormat="1" x14ac:dyDescent="0.25">
      <c r="A34" s="4" t="s">
        <v>22</v>
      </c>
      <c r="B34" s="20"/>
      <c r="C34" s="20"/>
      <c r="D34" s="6">
        <f>B34+C34</f>
        <v>0</v>
      </c>
      <c r="E34" s="20"/>
      <c r="F34" s="20"/>
      <c r="G34" s="20"/>
      <c r="H34" s="6">
        <f>F34+G34</f>
        <v>0</v>
      </c>
      <c r="I34" s="17">
        <f t="shared" si="7"/>
        <v>0</v>
      </c>
      <c r="Q34"/>
    </row>
    <row r="35" spans="1:17" s="6" customFormat="1" x14ac:dyDescent="0.25">
      <c r="A35" s="4" t="s">
        <v>201</v>
      </c>
      <c r="B35" s="20">
        <v>189857.21</v>
      </c>
      <c r="C35" s="20"/>
      <c r="D35" s="6">
        <f>B35+C35</f>
        <v>189857.21</v>
      </c>
      <c r="E35" s="20">
        <v>36699.620000000003</v>
      </c>
      <c r="F35" s="20"/>
      <c r="G35" s="20"/>
      <c r="H35" s="6">
        <f>F35+G35</f>
        <v>0</v>
      </c>
      <c r="I35" s="17">
        <f t="shared" si="7"/>
        <v>226556.83</v>
      </c>
      <c r="Q35"/>
    </row>
    <row r="36" spans="1:17" s="6" customFormat="1" x14ac:dyDescent="0.25">
      <c r="A36" s="4" t="s">
        <v>23</v>
      </c>
      <c r="B36" s="20">
        <v>199.64</v>
      </c>
      <c r="C36" s="20"/>
      <c r="D36" s="6">
        <f>B36+C36</f>
        <v>199.64</v>
      </c>
      <c r="E36" s="20">
        <v>628.58000000000004</v>
      </c>
      <c r="F36" s="20"/>
      <c r="G36" s="20"/>
      <c r="H36" s="6">
        <f>F36+G36</f>
        <v>0</v>
      </c>
      <c r="I36" s="17">
        <f t="shared" si="7"/>
        <v>828.22</v>
      </c>
      <c r="Q36"/>
    </row>
    <row r="37" spans="1:17" s="6" customFormat="1" x14ac:dyDescent="0.25">
      <c r="A37" s="4" t="s">
        <v>24</v>
      </c>
      <c r="B37" s="20"/>
      <c r="C37" s="20"/>
      <c r="D37" s="6">
        <f>SUM(B37+C37)</f>
        <v>0</v>
      </c>
      <c r="E37" s="20"/>
      <c r="F37" s="20"/>
      <c r="G37" s="20"/>
      <c r="H37" s="6">
        <f>SUM(F37+G37)</f>
        <v>0</v>
      </c>
      <c r="I37" s="17">
        <f t="shared" si="7"/>
        <v>0</v>
      </c>
      <c r="Q37"/>
    </row>
    <row r="38" spans="1:17" s="6" customFormat="1" x14ac:dyDescent="0.25">
      <c r="A38" s="2" t="s">
        <v>25</v>
      </c>
      <c r="B38" s="6">
        <f t="shared" ref="B38:H38" si="8">SUM(B33:B37)</f>
        <v>1182370.8199999998</v>
      </c>
      <c r="C38" s="6">
        <f t="shared" si="8"/>
        <v>0</v>
      </c>
      <c r="D38" s="6">
        <f t="shared" si="8"/>
        <v>1182370.8199999998</v>
      </c>
      <c r="E38" s="6">
        <f t="shared" si="8"/>
        <v>37328.200000000004</v>
      </c>
      <c r="F38" s="6">
        <f t="shared" si="8"/>
        <v>0</v>
      </c>
      <c r="G38" s="6">
        <f t="shared" si="8"/>
        <v>0</v>
      </c>
      <c r="H38" s="6">
        <f t="shared" si="8"/>
        <v>0</v>
      </c>
      <c r="I38" s="17">
        <f t="shared" si="7"/>
        <v>1219699.0199999998</v>
      </c>
      <c r="Q38"/>
    </row>
    <row r="39" spans="1:17" s="6" customFormat="1" x14ac:dyDescent="0.25">
      <c r="A39"/>
      <c r="I39" s="17"/>
      <c r="Q39"/>
    </row>
    <row r="40" spans="1:17" s="6" customFormat="1" x14ac:dyDescent="0.25">
      <c r="A40" s="3" t="s">
        <v>26</v>
      </c>
      <c r="I40" s="17"/>
      <c r="Q40"/>
    </row>
    <row r="41" spans="1:17" s="6" customFormat="1" x14ac:dyDescent="0.25">
      <c r="A41" s="4" t="s">
        <v>27</v>
      </c>
      <c r="B41" s="55"/>
      <c r="C41" s="20"/>
      <c r="D41" s="6">
        <f>B41+C41</f>
        <v>0</v>
      </c>
      <c r="E41" s="55"/>
      <c r="F41" s="20"/>
      <c r="G41" s="20"/>
      <c r="I41" s="17">
        <f t="shared" ref="I41:I47" si="9">D41+E41+H41</f>
        <v>0</v>
      </c>
      <c r="Q41"/>
    </row>
    <row r="42" spans="1:17" s="6" customFormat="1" x14ac:dyDescent="0.25">
      <c r="A42" s="4" t="s">
        <v>28</v>
      </c>
      <c r="B42" s="55"/>
      <c r="C42" s="20"/>
      <c r="D42" s="6">
        <f>B42+C42</f>
        <v>0</v>
      </c>
      <c r="E42" s="55"/>
      <c r="F42" s="20"/>
      <c r="G42" s="20"/>
      <c r="H42" s="6">
        <f>F42+G42</f>
        <v>0</v>
      </c>
      <c r="I42" s="17">
        <f t="shared" si="9"/>
        <v>0</v>
      </c>
      <c r="Q42"/>
    </row>
    <row r="43" spans="1:17" s="6" customFormat="1" x14ac:dyDescent="0.25">
      <c r="A43" s="4" t="s">
        <v>29</v>
      </c>
      <c r="B43" s="55"/>
      <c r="C43" s="20"/>
      <c r="D43" s="6">
        <f>SUM(D40:D42)</f>
        <v>0</v>
      </c>
      <c r="E43" s="55"/>
      <c r="F43" s="20"/>
      <c r="G43" s="20"/>
      <c r="H43" s="6">
        <f>SUM(H40:H42)</f>
        <v>0</v>
      </c>
      <c r="I43" s="17">
        <f t="shared" si="9"/>
        <v>0</v>
      </c>
      <c r="Q43"/>
    </row>
    <row r="44" spans="1:17" s="6" customFormat="1" x14ac:dyDescent="0.25">
      <c r="A44" s="4" t="s">
        <v>30</v>
      </c>
      <c r="B44" s="55"/>
      <c r="C44" s="20"/>
      <c r="E44" s="55"/>
      <c r="F44" s="20"/>
      <c r="G44" s="20"/>
      <c r="I44" s="17">
        <f t="shared" si="9"/>
        <v>0</v>
      </c>
      <c r="Q44"/>
    </row>
    <row r="45" spans="1:17" s="6" customFormat="1" x14ac:dyDescent="0.25">
      <c r="A45" s="4" t="s">
        <v>31</v>
      </c>
      <c r="B45" s="20">
        <v>1169952.56</v>
      </c>
      <c r="C45" s="20">
        <v>1110</v>
      </c>
      <c r="D45" s="6">
        <f>B45+C45</f>
        <v>1171062.56</v>
      </c>
      <c r="E45" s="20">
        <v>4069.03</v>
      </c>
      <c r="F45" s="20"/>
      <c r="G45" s="20"/>
      <c r="H45" s="6">
        <f>F45+G45</f>
        <v>0</v>
      </c>
      <c r="I45" s="17">
        <f t="shared" si="9"/>
        <v>1175131.5900000001</v>
      </c>
      <c r="Q45"/>
    </row>
    <row r="46" spans="1:17" s="6" customFormat="1" x14ac:dyDescent="0.25">
      <c r="A46" s="4" t="s">
        <v>62</v>
      </c>
      <c r="B46" s="55"/>
      <c r="C46" s="20"/>
      <c r="E46" s="55"/>
      <c r="F46" s="20"/>
      <c r="G46" s="20"/>
      <c r="I46" s="17">
        <f t="shared" si="9"/>
        <v>0</v>
      </c>
      <c r="Q46"/>
    </row>
    <row r="47" spans="1:17" s="6" customFormat="1" x14ac:dyDescent="0.25">
      <c r="A47" s="2" t="s">
        <v>32</v>
      </c>
      <c r="B47" s="6">
        <f t="shared" ref="B47:H47" si="10">SUM(B41:B46)</f>
        <v>1169952.56</v>
      </c>
      <c r="C47" s="6">
        <f t="shared" si="10"/>
        <v>1110</v>
      </c>
      <c r="D47" s="6">
        <f t="shared" si="10"/>
        <v>1171062.56</v>
      </c>
      <c r="E47" s="6">
        <f t="shared" si="10"/>
        <v>4069.03</v>
      </c>
      <c r="F47" s="6">
        <f t="shared" si="10"/>
        <v>0</v>
      </c>
      <c r="G47" s="6">
        <f t="shared" si="10"/>
        <v>0</v>
      </c>
      <c r="H47" s="6">
        <f t="shared" si="10"/>
        <v>0</v>
      </c>
      <c r="I47" s="17">
        <f t="shared" si="9"/>
        <v>1175131.5900000001</v>
      </c>
      <c r="Q47"/>
    </row>
    <row r="48" spans="1:17" s="6" customFormat="1" x14ac:dyDescent="0.25">
      <c r="A48"/>
      <c r="I48" s="17"/>
      <c r="Q48"/>
    </row>
    <row r="49" spans="1:17" s="6" customFormat="1" x14ac:dyDescent="0.25">
      <c r="A49" s="2" t="s">
        <v>33</v>
      </c>
      <c r="B49" s="6">
        <f t="shared" ref="B49:H49" si="11">B38-B47</f>
        <v>12418.259999999776</v>
      </c>
      <c r="C49" s="6">
        <f t="shared" si="11"/>
        <v>-1110</v>
      </c>
      <c r="D49" s="6">
        <f t="shared" si="11"/>
        <v>11308.259999999776</v>
      </c>
      <c r="E49" s="6">
        <f t="shared" si="11"/>
        <v>33259.170000000006</v>
      </c>
      <c r="F49" s="6">
        <f t="shared" si="11"/>
        <v>0</v>
      </c>
      <c r="G49" s="6">
        <f t="shared" si="11"/>
        <v>0</v>
      </c>
      <c r="H49" s="6">
        <f t="shared" si="11"/>
        <v>0</v>
      </c>
      <c r="I49" s="17">
        <f>D49+E49+H49</f>
        <v>44567.429999999782</v>
      </c>
      <c r="Q49"/>
    </row>
    <row r="50" spans="1:17" s="6" customFormat="1" x14ac:dyDescent="0.25">
      <c r="A50" s="2"/>
      <c r="I50" s="17"/>
      <c r="Q50"/>
    </row>
    <row r="51" spans="1:17" s="6" customFormat="1" x14ac:dyDescent="0.25">
      <c r="A51" s="34" t="s">
        <v>300</v>
      </c>
      <c r="B51" s="20"/>
      <c r="C51" s="20"/>
      <c r="D51" s="6">
        <f>B51+C51</f>
        <v>0</v>
      </c>
      <c r="E51" s="20"/>
      <c r="F51" s="20"/>
      <c r="G51" s="20"/>
      <c r="H51" s="6">
        <f>F51+G51</f>
        <v>0</v>
      </c>
      <c r="I51" s="17">
        <f>D51+E51+H51</f>
        <v>0</v>
      </c>
      <c r="Q51"/>
    </row>
    <row r="52" spans="1:17" s="6" customFormat="1" x14ac:dyDescent="0.25">
      <c r="A52" t="s">
        <v>34</v>
      </c>
      <c r="B52" s="20">
        <v>51261.75</v>
      </c>
      <c r="C52" s="20"/>
      <c r="D52" s="6">
        <f>B52+C52</f>
        <v>51261.75</v>
      </c>
      <c r="E52" s="20"/>
      <c r="F52" s="20"/>
      <c r="G52" s="20"/>
      <c r="H52" s="6">
        <f>F52+G52</f>
        <v>0</v>
      </c>
      <c r="I52" s="17">
        <f>D52+E52+H52</f>
        <v>51261.75</v>
      </c>
      <c r="Q52"/>
    </row>
    <row r="53" spans="1:17" s="6" customFormat="1" x14ac:dyDescent="0.25">
      <c r="A53" t="s">
        <v>35</v>
      </c>
      <c r="B53" s="20">
        <v>62574.01</v>
      </c>
      <c r="C53" s="20"/>
      <c r="D53" s="6">
        <f>B53+C53</f>
        <v>62574.01</v>
      </c>
      <c r="E53" s="20">
        <v>33633.75</v>
      </c>
      <c r="F53" s="20"/>
      <c r="G53" s="20"/>
      <c r="H53" s="6">
        <f>F53+G53</f>
        <v>0</v>
      </c>
      <c r="I53" s="17">
        <f>D53+E53+H53</f>
        <v>96207.760000000009</v>
      </c>
      <c r="Q53"/>
    </row>
    <row r="54" spans="1:17" s="6" customFormat="1" x14ac:dyDescent="0.25">
      <c r="A54" s="2" t="s">
        <v>36</v>
      </c>
      <c r="B54" s="6">
        <f>B51+B52-B53</f>
        <v>-11312.260000000002</v>
      </c>
      <c r="C54" s="6">
        <f>C51+C52-C53</f>
        <v>0</v>
      </c>
      <c r="D54" s="6">
        <f>B54+C54</f>
        <v>-11312.260000000002</v>
      </c>
      <c r="E54" s="6">
        <f>E51+E52-E53</f>
        <v>-33633.75</v>
      </c>
      <c r="F54" s="6">
        <f>F51+F52-F53</f>
        <v>0</v>
      </c>
      <c r="G54" s="6">
        <f>G51+G52-G53</f>
        <v>0</v>
      </c>
      <c r="H54" s="6">
        <f>F54+G54</f>
        <v>0</v>
      </c>
      <c r="I54" s="17">
        <f>D54+E54+H54</f>
        <v>-44946.01</v>
      </c>
      <c r="Q54"/>
    </row>
    <row r="55" spans="1:17" s="6" customFormat="1" x14ac:dyDescent="0.25">
      <c r="A55"/>
      <c r="I55" s="17"/>
      <c r="Q55"/>
    </row>
    <row r="56" spans="1:17" s="6" customFormat="1" x14ac:dyDescent="0.25">
      <c r="A56" s="2" t="s">
        <v>37</v>
      </c>
      <c r="B56" s="6">
        <f t="shared" ref="B56:H56" si="12">B49+B54</f>
        <v>1105.9999999997744</v>
      </c>
      <c r="C56" s="6">
        <f t="shared" si="12"/>
        <v>-1110</v>
      </c>
      <c r="D56" s="6">
        <f t="shared" si="12"/>
        <v>-4.0000000002255547</v>
      </c>
      <c r="E56" s="6">
        <f t="shared" si="12"/>
        <v>-374.57999999999447</v>
      </c>
      <c r="F56" s="6">
        <f t="shared" si="12"/>
        <v>0</v>
      </c>
      <c r="G56" s="6">
        <f t="shared" si="12"/>
        <v>0</v>
      </c>
      <c r="H56" s="6">
        <f t="shared" si="12"/>
        <v>0</v>
      </c>
      <c r="I56" s="17">
        <f>D56+E56+H56</f>
        <v>-378.58000000022002</v>
      </c>
      <c r="Q56"/>
    </row>
    <row r="57" spans="1:17" s="6" customFormat="1" x14ac:dyDescent="0.25">
      <c r="A57" t="s">
        <v>38</v>
      </c>
      <c r="B57" s="6">
        <f t="shared" ref="B57:H57" si="13">B58-B56</f>
        <v>-1104.3999999997745</v>
      </c>
      <c r="C57" s="6">
        <f t="shared" si="13"/>
        <v>1110</v>
      </c>
      <c r="D57" s="6">
        <f t="shared" si="13"/>
        <v>5.6000000002255543</v>
      </c>
      <c r="E57" s="6">
        <f t="shared" si="13"/>
        <v>295566.38</v>
      </c>
      <c r="F57" s="6">
        <f t="shared" si="13"/>
        <v>0</v>
      </c>
      <c r="G57" s="6">
        <f t="shared" si="13"/>
        <v>0</v>
      </c>
      <c r="H57" s="6">
        <f t="shared" si="13"/>
        <v>0</v>
      </c>
      <c r="I57" s="17">
        <f>D57+E57+H57</f>
        <v>295571.98000000021</v>
      </c>
      <c r="Q57"/>
    </row>
    <row r="58" spans="1:17" s="6" customFormat="1" x14ac:dyDescent="0.25">
      <c r="A58" s="2" t="s">
        <v>39</v>
      </c>
      <c r="B58" s="6">
        <f t="shared" ref="B58:H58" si="14">B28</f>
        <v>1.6</v>
      </c>
      <c r="C58" s="6">
        <f t="shared" si="14"/>
        <v>0</v>
      </c>
      <c r="D58" s="6">
        <f t="shared" si="14"/>
        <v>1.6</v>
      </c>
      <c r="E58" s="6">
        <f t="shared" si="14"/>
        <v>295191.8</v>
      </c>
      <c r="F58" s="6">
        <f t="shared" si="14"/>
        <v>0</v>
      </c>
      <c r="G58" s="6">
        <f t="shared" si="14"/>
        <v>0</v>
      </c>
      <c r="H58" s="6">
        <f t="shared" si="14"/>
        <v>0</v>
      </c>
      <c r="I58" s="17">
        <f>D58+E58+H58</f>
        <v>295193.39999999997</v>
      </c>
      <c r="Q58"/>
    </row>
  </sheetData>
  <sheetProtection sheet="1" objects="1" scenarios="1"/>
  <customSheetViews>
    <customSheetView guid="{E68B3865-8D72-47E7-BE32-0FF7EB09E889}" scale="80" fitToPage="1">
      <pane xSplit="1" ySplit="5" topLeftCell="B9" activePane="bottomRight" state="frozen"/>
      <selection pane="bottomRight" activeCell="C12" sqref="C12"/>
      <pageMargins left="0.7" right="0.7" top="0.75" bottom="0.75" header="0.3" footer="0.3"/>
      <pageSetup scale="57" orientation="landscape" r:id="rId1"/>
    </customSheetView>
    <customSheetView guid="{DE6E911D-85BF-467A-AA00-1E84C5349CF7}" scale="80" fitToPage="1">
      <pane xSplit="1" ySplit="5" topLeftCell="B9" activePane="bottomRight" state="frozen"/>
      <selection pane="bottomRight" activeCell="C12" sqref="C12"/>
      <pageMargins left="0.7" right="0.7" top="0.75" bottom="0.75" header="0.3" footer="0.3"/>
      <pageSetup scale="57" orientation="landscape" r:id="rId2"/>
    </customSheetView>
    <customSheetView guid="{A6F79E61-D6A3-44FD-B4A4-4724DF74349B}" showPageBreaks="1" fitToPage="1">
      <pane xSplit="1" ySplit="5" topLeftCell="B12" activePane="bottomRight" state="frozen"/>
      <selection pane="bottomRight" activeCell="B13" sqref="B13"/>
      <pageMargins left="0.7" right="0.7" top="0.75" bottom="0.75" header="0.3" footer="0.3"/>
      <pageSetup scale="58" orientation="landscape" r:id="rId3"/>
    </customSheetView>
    <customSheetView guid="{EC03C3C8-7E57-47C6-8413-F484E8C46A0C}" showPageBreaks="1" fitToPage="1">
      <pane xSplit="1" ySplit="5" topLeftCell="B41" activePane="bottomRight" state="frozen"/>
      <selection pane="bottomRight" activeCell="B53" sqref="B53"/>
      <pageMargins left="0.7" right="0.7" top="0.75" bottom="0.75" header="0.3" footer="0.3"/>
      <pageSetup scale="58" orientation="landscape" r:id="rId4"/>
    </customSheetView>
    <customSheetView guid="{2B2709E2-6DF4-4CC4-88D0-056FB306137C}" fitToPage="1">
      <pane xSplit="1" ySplit="5" topLeftCell="B21" activePane="bottomRight" state="frozen"/>
      <selection pane="bottomRight" activeCell="C28" sqref="C28"/>
      <pageMargins left="0.7" right="0.7" top="0.75" bottom="0.75" header="0.3" footer="0.3"/>
      <pageSetup scale="59" orientation="landscape" r:id="rId5"/>
    </customSheetView>
  </customSheetViews>
  <pageMargins left="0.7" right="0.7" top="0.75" bottom="0.75" header="0.3" footer="0.3"/>
  <pageSetup scale="57" orientation="landscape"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zoomScale="90" zoomScaleNormal="90" workbookViewId="0">
      <pane xSplit="1" ySplit="5" topLeftCell="B17" activePane="bottomRight" state="frozen"/>
      <selection pane="topRight" activeCell="B1" sqref="B1"/>
      <selection pane="bottomLeft" activeCell="A6" sqref="A6"/>
      <selection pane="bottomRight" activeCell="C59" sqref="C59"/>
    </sheetView>
  </sheetViews>
  <sheetFormatPr defaultRowHeight="15" outlineLevelCol="1" x14ac:dyDescent="0.25"/>
  <cols>
    <col min="1" max="1" width="31" customWidth="1"/>
    <col min="2" max="3" width="12.7109375" style="6" customWidth="1" outlineLevel="1"/>
    <col min="4" max="4" width="12.7109375" style="6" customWidth="1"/>
    <col min="5" max="5" width="16.85546875" style="43" customWidth="1" outlineLevel="1"/>
    <col min="6" max="6" width="12.7109375" style="6" customWidth="1" outlineLevel="1"/>
    <col min="7" max="7" width="15.85546875" style="6" customWidth="1"/>
    <col min="8" max="8" width="17.5703125" style="6" customWidth="1"/>
    <col min="9" max="9" width="17" style="6" customWidth="1"/>
    <col min="10" max="11" width="11.85546875" style="6" customWidth="1"/>
    <col min="12" max="12" width="14" style="6" customWidth="1"/>
    <col min="13" max="14" width="11.140625" style="6" bestFit="1" customWidth="1"/>
    <col min="15" max="15" width="9.140625" style="6"/>
    <col min="16" max="16" width="13.5703125" style="6" bestFit="1" customWidth="1"/>
    <col min="17" max="17" width="12.7109375" bestFit="1" customWidth="1"/>
  </cols>
  <sheetData>
    <row r="1" spans="1:16" ht="23.25" x14ac:dyDescent="0.35">
      <c r="A1" s="5" t="s">
        <v>56</v>
      </c>
    </row>
    <row r="2" spans="1:16" x14ac:dyDescent="0.25">
      <c r="A2" t="s">
        <v>1</v>
      </c>
    </row>
    <row r="3" spans="1:16" x14ac:dyDescent="0.25">
      <c r="A3" s="1">
        <f>'Human Services 1150'!A3</f>
        <v>43830</v>
      </c>
    </row>
    <row r="4" spans="1:16" x14ac:dyDescent="0.25">
      <c r="A4" s="1"/>
    </row>
    <row r="5" spans="1:16" ht="45" x14ac:dyDescent="0.25">
      <c r="A5" s="1"/>
      <c r="B5" s="7" t="s">
        <v>57</v>
      </c>
      <c r="C5" s="7" t="s">
        <v>235</v>
      </c>
      <c r="D5" s="7" t="s">
        <v>236</v>
      </c>
      <c r="E5" s="44" t="s">
        <v>58</v>
      </c>
      <c r="F5" s="7" t="s">
        <v>237</v>
      </c>
      <c r="G5" s="7" t="s">
        <v>236</v>
      </c>
      <c r="H5" s="7" t="s">
        <v>59</v>
      </c>
      <c r="I5" s="18" t="s">
        <v>60</v>
      </c>
      <c r="J5" s="7"/>
      <c r="K5" s="7"/>
      <c r="L5" s="7"/>
      <c r="M5" s="7"/>
      <c r="N5" s="7"/>
      <c r="O5" s="7"/>
      <c r="P5" s="7"/>
    </row>
    <row r="6" spans="1:16" x14ac:dyDescent="0.25">
      <c r="I6" s="17"/>
    </row>
    <row r="7" spans="1:16" x14ac:dyDescent="0.25">
      <c r="A7" s="3" t="s">
        <v>2</v>
      </c>
      <c r="I7" s="17"/>
    </row>
    <row r="8" spans="1:16" x14ac:dyDescent="0.25">
      <c r="A8" s="4" t="s">
        <v>3</v>
      </c>
      <c r="B8" s="20">
        <v>97199.6</v>
      </c>
      <c r="C8" s="20"/>
      <c r="D8" s="6">
        <f>SUM(B8:C8)</f>
        <v>97199.6</v>
      </c>
      <c r="E8" s="46">
        <v>-349241.63</v>
      </c>
      <c r="F8" s="20"/>
      <c r="G8" s="69">
        <f>SUM(E8:F8)</f>
        <v>-349241.63</v>
      </c>
      <c r="H8" s="20">
        <v>34464.519999999997</v>
      </c>
      <c r="I8" s="17">
        <f>SUM(D8+G8+H8)</f>
        <v>-217577.51</v>
      </c>
    </row>
    <row r="9" spans="1:16" x14ac:dyDescent="0.25">
      <c r="A9" s="4" t="s">
        <v>4</v>
      </c>
      <c r="B9" s="20">
        <v>10189.81</v>
      </c>
      <c r="C9" s="20"/>
      <c r="D9" s="6">
        <f t="shared" ref="D9:D70" si="0">SUM(B9:C9)</f>
        <v>10189.81</v>
      </c>
      <c r="E9" s="50">
        <v>428952.68</v>
      </c>
      <c r="F9" s="20"/>
      <c r="G9" s="6">
        <f t="shared" ref="G9:G70" si="1">SUM(E9:F9)</f>
        <v>428952.68</v>
      </c>
      <c r="H9" s="20"/>
      <c r="I9" s="17">
        <f t="shared" ref="I9:I70" si="2">SUM(D9+G9+H9)</f>
        <v>439142.49</v>
      </c>
    </row>
    <row r="10" spans="1:16" x14ac:dyDescent="0.25">
      <c r="A10" s="4" t="s">
        <v>6</v>
      </c>
      <c r="B10" s="20"/>
      <c r="C10" s="20"/>
      <c r="D10" s="6">
        <f t="shared" si="0"/>
        <v>0</v>
      </c>
      <c r="E10" s="46"/>
      <c r="F10" s="20"/>
      <c r="G10" s="6">
        <f t="shared" si="1"/>
        <v>0</v>
      </c>
      <c r="H10" s="20"/>
      <c r="I10" s="17">
        <f t="shared" si="2"/>
        <v>0</v>
      </c>
    </row>
    <row r="11" spans="1:16" x14ac:dyDescent="0.25">
      <c r="A11" s="4" t="s">
        <v>5</v>
      </c>
      <c r="B11" s="20"/>
      <c r="C11" s="20"/>
      <c r="D11" s="6">
        <f t="shared" si="0"/>
        <v>0</v>
      </c>
      <c r="E11" s="46"/>
      <c r="F11" s="20"/>
      <c r="G11" s="6">
        <f t="shared" si="1"/>
        <v>0</v>
      </c>
      <c r="H11" s="20"/>
      <c r="I11" s="17">
        <f t="shared" si="2"/>
        <v>0</v>
      </c>
    </row>
    <row r="12" spans="1:16" x14ac:dyDescent="0.25">
      <c r="A12" s="4" t="s">
        <v>61</v>
      </c>
      <c r="B12" s="20">
        <v>69415.11</v>
      </c>
      <c r="C12" s="20"/>
      <c r="D12" s="6">
        <f t="shared" si="0"/>
        <v>69415.11</v>
      </c>
      <c r="E12" s="46"/>
      <c r="F12" s="20"/>
      <c r="G12" s="6">
        <f t="shared" si="1"/>
        <v>0</v>
      </c>
      <c r="H12" s="20"/>
      <c r="I12" s="17">
        <f t="shared" si="2"/>
        <v>69415.11</v>
      </c>
    </row>
    <row r="13" spans="1:16" x14ac:dyDescent="0.25">
      <c r="A13" s="2" t="s">
        <v>7</v>
      </c>
      <c r="B13" s="6">
        <f>SUM(B8:B12)</f>
        <v>176804.52000000002</v>
      </c>
      <c r="C13" s="6">
        <f>SUM(C8:C12)</f>
        <v>0</v>
      </c>
      <c r="D13" s="6">
        <f t="shared" si="0"/>
        <v>176804.52000000002</v>
      </c>
      <c r="E13" s="43">
        <f>SUM(E8:E12)</f>
        <v>79711.049999999988</v>
      </c>
      <c r="F13" s="6">
        <f>SUM(F8:F12)</f>
        <v>0</v>
      </c>
      <c r="G13" s="6">
        <f t="shared" si="1"/>
        <v>79711.049999999988</v>
      </c>
      <c r="H13" s="6">
        <f>SUM(H8:H12)</f>
        <v>34464.519999999997</v>
      </c>
      <c r="I13" s="17">
        <f t="shared" si="2"/>
        <v>290980.09000000003</v>
      </c>
    </row>
    <row r="14" spans="1:16" x14ac:dyDescent="0.25">
      <c r="D14" s="6">
        <f t="shared" si="0"/>
        <v>0</v>
      </c>
      <c r="G14" s="6">
        <f t="shared" si="1"/>
        <v>0</v>
      </c>
      <c r="I14" s="17">
        <f t="shared" si="2"/>
        <v>0</v>
      </c>
    </row>
    <row r="15" spans="1:16" x14ac:dyDescent="0.25">
      <c r="A15" s="3" t="s">
        <v>8</v>
      </c>
      <c r="D15" s="6">
        <f t="shared" si="0"/>
        <v>0</v>
      </c>
      <c r="G15" s="6">
        <f t="shared" si="1"/>
        <v>0</v>
      </c>
      <c r="I15" s="17">
        <f t="shared" si="2"/>
        <v>0</v>
      </c>
    </row>
    <row r="16" spans="1:16" x14ac:dyDescent="0.25">
      <c r="A16" s="4" t="s">
        <v>9</v>
      </c>
      <c r="B16" s="20">
        <v>13751.97</v>
      </c>
      <c r="C16" s="20"/>
      <c r="D16" s="6">
        <f t="shared" si="0"/>
        <v>13751.97</v>
      </c>
      <c r="E16" s="46">
        <v>215971.33</v>
      </c>
      <c r="F16" s="20"/>
      <c r="G16" s="6">
        <f t="shared" si="1"/>
        <v>215971.33</v>
      </c>
      <c r="H16" s="20"/>
      <c r="I16" s="17">
        <f t="shared" si="2"/>
        <v>229723.3</v>
      </c>
    </row>
    <row r="17" spans="1:9" x14ac:dyDescent="0.25">
      <c r="A17" s="4" t="s">
        <v>10</v>
      </c>
      <c r="B17" s="20"/>
      <c r="C17" s="20"/>
      <c r="D17" s="6">
        <f t="shared" si="0"/>
        <v>0</v>
      </c>
      <c r="E17" s="46"/>
      <c r="F17" s="20"/>
      <c r="G17" s="6">
        <f t="shared" si="1"/>
        <v>0</v>
      </c>
      <c r="H17" s="20"/>
      <c r="I17" s="17">
        <f t="shared" si="2"/>
        <v>0</v>
      </c>
    </row>
    <row r="18" spans="1:9" x14ac:dyDescent="0.25">
      <c r="A18" s="4" t="s">
        <v>11</v>
      </c>
      <c r="B18" s="20"/>
      <c r="C18" s="20"/>
      <c r="D18" s="6">
        <f t="shared" si="0"/>
        <v>0</v>
      </c>
      <c r="E18" s="46"/>
      <c r="F18" s="20"/>
      <c r="G18" s="6">
        <f t="shared" si="1"/>
        <v>0</v>
      </c>
      <c r="H18" s="20"/>
      <c r="I18" s="17">
        <f t="shared" si="2"/>
        <v>0</v>
      </c>
    </row>
    <row r="19" spans="1:9" x14ac:dyDescent="0.25">
      <c r="A19" s="4" t="s">
        <v>12</v>
      </c>
      <c r="B19" s="20"/>
      <c r="C19" s="20"/>
      <c r="D19" s="6">
        <f t="shared" si="0"/>
        <v>0</v>
      </c>
      <c r="E19" s="46"/>
      <c r="F19" s="20"/>
      <c r="G19" s="6">
        <f t="shared" si="1"/>
        <v>0</v>
      </c>
      <c r="H19" s="20"/>
      <c r="I19" s="17">
        <f t="shared" si="2"/>
        <v>0</v>
      </c>
    </row>
    <row r="20" spans="1:9" x14ac:dyDescent="0.25">
      <c r="A20" s="2" t="s">
        <v>13</v>
      </c>
      <c r="B20" s="6">
        <f>SUM(B16:B19)</f>
        <v>13751.97</v>
      </c>
      <c r="C20" s="6">
        <f>SUM(C16:C19)</f>
        <v>0</v>
      </c>
      <c r="D20" s="6">
        <f t="shared" si="0"/>
        <v>13751.97</v>
      </c>
      <c r="E20" s="43">
        <f>SUM(E16:E19)</f>
        <v>215971.33</v>
      </c>
      <c r="F20" s="6">
        <f>SUM(F16:F19)</f>
        <v>0</v>
      </c>
      <c r="G20" s="6">
        <f t="shared" si="1"/>
        <v>215971.33</v>
      </c>
      <c r="H20" s="6">
        <f>SUM(H16:H19)</f>
        <v>0</v>
      </c>
      <c r="I20" s="17">
        <f t="shared" si="2"/>
        <v>229723.3</v>
      </c>
    </row>
    <row r="21" spans="1:9" x14ac:dyDescent="0.25">
      <c r="D21" s="6">
        <f t="shared" si="0"/>
        <v>0</v>
      </c>
      <c r="G21" s="6">
        <f t="shared" si="1"/>
        <v>0</v>
      </c>
      <c r="I21" s="17">
        <f t="shared" si="2"/>
        <v>0</v>
      </c>
    </row>
    <row r="22" spans="1:9" x14ac:dyDescent="0.25">
      <c r="A22" s="3" t="s">
        <v>14</v>
      </c>
      <c r="D22" s="6">
        <f t="shared" si="0"/>
        <v>0</v>
      </c>
      <c r="G22" s="6">
        <f t="shared" si="1"/>
        <v>0</v>
      </c>
      <c r="I22" s="17">
        <f t="shared" si="2"/>
        <v>0</v>
      </c>
    </row>
    <row r="23" spans="1:9" x14ac:dyDescent="0.25">
      <c r="A23" s="78" t="s">
        <v>370</v>
      </c>
      <c r="B23" s="55"/>
      <c r="C23" s="55"/>
      <c r="D23" s="6">
        <f t="shared" si="0"/>
        <v>0</v>
      </c>
      <c r="E23" s="74"/>
      <c r="F23" s="55"/>
      <c r="G23" s="6">
        <f t="shared" si="1"/>
        <v>0</v>
      </c>
      <c r="H23" s="55"/>
      <c r="I23" s="17">
        <f t="shared" si="2"/>
        <v>0</v>
      </c>
    </row>
    <row r="24" spans="1:9" x14ac:dyDescent="0.25">
      <c r="A24" s="77" t="s">
        <v>369</v>
      </c>
      <c r="B24" s="55"/>
      <c r="C24" s="55"/>
      <c r="D24" s="6">
        <f t="shared" si="0"/>
        <v>0</v>
      </c>
      <c r="E24" s="74"/>
      <c r="F24" s="55"/>
      <c r="G24" s="6">
        <f t="shared" si="1"/>
        <v>0</v>
      </c>
      <c r="H24" s="55"/>
      <c r="I24" s="17">
        <f t="shared" si="2"/>
        <v>0</v>
      </c>
    </row>
    <row r="25" spans="1:9" x14ac:dyDescent="0.25">
      <c r="A25" s="77" t="s">
        <v>31</v>
      </c>
      <c r="B25" s="55"/>
      <c r="C25" s="55"/>
      <c r="D25" s="6">
        <f t="shared" si="0"/>
        <v>0</v>
      </c>
      <c r="E25" s="74"/>
      <c r="F25" s="55"/>
      <c r="G25" s="6">
        <f t="shared" si="1"/>
        <v>0</v>
      </c>
      <c r="H25" s="55"/>
      <c r="I25" s="17">
        <f t="shared" si="2"/>
        <v>0</v>
      </c>
    </row>
    <row r="26" spans="1:9" x14ac:dyDescent="0.25">
      <c r="A26" s="77" t="s">
        <v>333</v>
      </c>
      <c r="B26" s="55"/>
      <c r="C26" s="55"/>
      <c r="D26" s="6">
        <f t="shared" si="0"/>
        <v>0</v>
      </c>
      <c r="E26" s="74"/>
      <c r="F26" s="55"/>
      <c r="G26" s="6">
        <f t="shared" si="1"/>
        <v>0</v>
      </c>
      <c r="H26" s="55"/>
      <c r="I26" s="17">
        <f t="shared" si="2"/>
        <v>0</v>
      </c>
    </row>
    <row r="27" spans="1:9" x14ac:dyDescent="0.25">
      <c r="A27" s="77" t="s">
        <v>334</v>
      </c>
      <c r="B27" s="55"/>
      <c r="C27" s="55"/>
      <c r="D27" s="6">
        <f t="shared" si="0"/>
        <v>0</v>
      </c>
      <c r="E27" s="74"/>
      <c r="F27" s="55"/>
      <c r="G27" s="6">
        <f t="shared" si="1"/>
        <v>0</v>
      </c>
      <c r="H27" s="55"/>
      <c r="I27" s="17">
        <f t="shared" si="2"/>
        <v>0</v>
      </c>
    </row>
    <row r="28" spans="1:9" x14ac:dyDescent="0.25">
      <c r="A28" s="77" t="s">
        <v>335</v>
      </c>
      <c r="B28" s="55"/>
      <c r="C28" s="55"/>
      <c r="D28" s="6">
        <f t="shared" si="0"/>
        <v>0</v>
      </c>
      <c r="E28" s="74"/>
      <c r="F28" s="55"/>
      <c r="G28" s="6">
        <f t="shared" si="1"/>
        <v>0</v>
      </c>
      <c r="H28" s="55"/>
      <c r="I28" s="17">
        <f t="shared" si="2"/>
        <v>0</v>
      </c>
    </row>
    <row r="29" spans="1:9" x14ac:dyDescent="0.25">
      <c r="A29" s="77" t="s">
        <v>336</v>
      </c>
      <c r="B29" s="55"/>
      <c r="C29" s="55"/>
      <c r="D29" s="6">
        <f t="shared" si="0"/>
        <v>0</v>
      </c>
      <c r="E29" s="74"/>
      <c r="F29" s="55"/>
      <c r="G29" s="6">
        <f t="shared" si="1"/>
        <v>0</v>
      </c>
      <c r="H29" s="55"/>
      <c r="I29" s="17">
        <f t="shared" si="2"/>
        <v>0</v>
      </c>
    </row>
    <row r="30" spans="1:9" x14ac:dyDescent="0.25">
      <c r="A30" s="77" t="s">
        <v>337</v>
      </c>
      <c r="B30" s="55"/>
      <c r="C30" s="55"/>
      <c r="D30" s="6">
        <f t="shared" si="0"/>
        <v>0</v>
      </c>
      <c r="E30" s="74"/>
      <c r="F30" s="55"/>
      <c r="G30" s="6">
        <f t="shared" si="1"/>
        <v>0</v>
      </c>
      <c r="H30" s="55"/>
      <c r="I30" s="17">
        <f t="shared" si="2"/>
        <v>0</v>
      </c>
    </row>
    <row r="31" spans="1:9" x14ac:dyDescent="0.25">
      <c r="A31" s="77" t="s">
        <v>362</v>
      </c>
      <c r="B31" s="55"/>
      <c r="C31" s="55"/>
      <c r="D31" s="6">
        <f t="shared" si="0"/>
        <v>0</v>
      </c>
      <c r="E31" s="74"/>
      <c r="F31" s="55"/>
      <c r="G31" s="6">
        <f t="shared" si="1"/>
        <v>0</v>
      </c>
      <c r="H31" s="55"/>
      <c r="I31" s="17">
        <f t="shared" si="2"/>
        <v>0</v>
      </c>
    </row>
    <row r="32" spans="1:9" x14ac:dyDescent="0.25">
      <c r="A32" s="77" t="s">
        <v>339</v>
      </c>
      <c r="B32" s="55"/>
      <c r="C32" s="55"/>
      <c r="D32" s="6">
        <f t="shared" si="0"/>
        <v>0</v>
      </c>
      <c r="E32" s="74"/>
      <c r="F32" s="55"/>
      <c r="G32" s="6">
        <f t="shared" si="1"/>
        <v>0</v>
      </c>
      <c r="H32" s="55"/>
      <c r="I32" s="17">
        <f t="shared" si="2"/>
        <v>0</v>
      </c>
    </row>
    <row r="33" spans="1:9" x14ac:dyDescent="0.25">
      <c r="A33" s="77" t="s">
        <v>363</v>
      </c>
      <c r="B33" s="55"/>
      <c r="C33" s="55"/>
      <c r="D33" s="6">
        <f t="shared" si="0"/>
        <v>0</v>
      </c>
      <c r="E33" s="74"/>
      <c r="F33" s="55"/>
      <c r="G33" s="6">
        <f t="shared" si="1"/>
        <v>0</v>
      </c>
      <c r="H33" s="55"/>
      <c r="I33" s="17">
        <f t="shared" si="2"/>
        <v>0</v>
      </c>
    </row>
    <row r="34" spans="1:9" x14ac:dyDescent="0.25">
      <c r="A34" s="77" t="s">
        <v>364</v>
      </c>
      <c r="B34" s="55"/>
      <c r="C34" s="55"/>
      <c r="D34" s="6">
        <f t="shared" si="0"/>
        <v>0</v>
      </c>
      <c r="E34" s="74"/>
      <c r="F34" s="55"/>
      <c r="G34" s="6">
        <f t="shared" si="1"/>
        <v>0</v>
      </c>
      <c r="H34" s="55"/>
      <c r="I34" s="17">
        <f t="shared" si="2"/>
        <v>0</v>
      </c>
    </row>
    <row r="35" spans="1:9" x14ac:dyDescent="0.25">
      <c r="A35" s="78" t="s">
        <v>365</v>
      </c>
      <c r="B35" s="55"/>
      <c r="C35" s="55"/>
      <c r="D35" s="6">
        <f t="shared" si="0"/>
        <v>0</v>
      </c>
      <c r="E35" s="74"/>
      <c r="F35" s="55"/>
      <c r="G35" s="6">
        <f t="shared" si="1"/>
        <v>0</v>
      </c>
      <c r="H35" s="55"/>
      <c r="I35" s="17">
        <f t="shared" si="2"/>
        <v>0</v>
      </c>
    </row>
    <row r="36" spans="1:9" x14ac:dyDescent="0.25">
      <c r="A36" s="77" t="s">
        <v>371</v>
      </c>
      <c r="B36" s="55"/>
      <c r="C36" s="55"/>
      <c r="D36" s="6">
        <f t="shared" si="0"/>
        <v>0</v>
      </c>
      <c r="E36" s="74"/>
      <c r="F36" s="55"/>
      <c r="G36" s="6">
        <f t="shared" si="1"/>
        <v>0</v>
      </c>
      <c r="H36" s="55"/>
      <c r="I36" s="17">
        <f t="shared" si="2"/>
        <v>0</v>
      </c>
    </row>
    <row r="37" spans="1:9" x14ac:dyDescent="0.25">
      <c r="A37" s="79" t="s">
        <v>366</v>
      </c>
      <c r="B37" s="55"/>
      <c r="C37" s="55"/>
      <c r="D37" s="6">
        <f t="shared" si="0"/>
        <v>0</v>
      </c>
      <c r="E37" s="74"/>
      <c r="F37" s="55"/>
      <c r="G37" s="6">
        <f t="shared" si="1"/>
        <v>0</v>
      </c>
      <c r="H37" s="55"/>
      <c r="I37" s="17">
        <f t="shared" si="2"/>
        <v>0</v>
      </c>
    </row>
    <row r="38" spans="1:9" x14ac:dyDescent="0.25">
      <c r="A38" s="79" t="s">
        <v>344</v>
      </c>
      <c r="B38" s="20">
        <v>163052.54999999999</v>
      </c>
      <c r="C38" s="20"/>
      <c r="D38" s="6">
        <f t="shared" si="0"/>
        <v>163052.54999999999</v>
      </c>
      <c r="E38" s="46">
        <v>-136260.28</v>
      </c>
      <c r="F38" s="55"/>
      <c r="G38" s="6">
        <f t="shared" si="1"/>
        <v>-136260.28</v>
      </c>
      <c r="H38" s="20">
        <v>34464.519999999997</v>
      </c>
      <c r="I38" s="17">
        <f t="shared" si="2"/>
        <v>61256.789999999986</v>
      </c>
    </row>
    <row r="39" spans="1:9" x14ac:dyDescent="0.25">
      <c r="A39" s="79" t="s">
        <v>368</v>
      </c>
      <c r="B39" s="55"/>
      <c r="C39" s="55"/>
      <c r="D39" s="6">
        <f t="shared" si="0"/>
        <v>0</v>
      </c>
      <c r="E39" s="74"/>
      <c r="F39" s="55"/>
      <c r="G39" s="6">
        <f t="shared" si="1"/>
        <v>0</v>
      </c>
      <c r="H39" s="55"/>
      <c r="I39" s="17">
        <f t="shared" si="2"/>
        <v>0</v>
      </c>
    </row>
    <row r="40" spans="1:9" x14ac:dyDescent="0.25">
      <c r="A40" s="78" t="s">
        <v>17</v>
      </c>
      <c r="B40" s="55"/>
      <c r="C40" s="55"/>
      <c r="D40" s="6">
        <f t="shared" si="0"/>
        <v>0</v>
      </c>
      <c r="E40" s="74"/>
      <c r="F40" s="55"/>
      <c r="G40" s="6">
        <f t="shared" si="1"/>
        <v>0</v>
      </c>
      <c r="H40" s="55"/>
      <c r="I40" s="17">
        <f t="shared" si="2"/>
        <v>0</v>
      </c>
    </row>
    <row r="41" spans="1:9" x14ac:dyDescent="0.25">
      <c r="A41" s="2" t="s">
        <v>18</v>
      </c>
      <c r="B41" s="6">
        <f>SUM(B23:B40)</f>
        <v>163052.54999999999</v>
      </c>
      <c r="C41" s="6">
        <f>SUM(C23:C40)</f>
        <v>0</v>
      </c>
      <c r="D41" s="6">
        <f t="shared" si="0"/>
        <v>163052.54999999999</v>
      </c>
      <c r="E41" s="43">
        <f>SUM(E23:E40)</f>
        <v>-136260.28</v>
      </c>
      <c r="F41" s="6">
        <f>SUM(F23:F40)</f>
        <v>0</v>
      </c>
      <c r="G41" s="6">
        <f t="shared" si="1"/>
        <v>-136260.28</v>
      </c>
      <c r="H41" s="6">
        <f>SUM(H23:H40)</f>
        <v>34464.519999999997</v>
      </c>
      <c r="I41" s="17">
        <f t="shared" si="2"/>
        <v>61256.789999999986</v>
      </c>
    </row>
    <row r="42" spans="1:9" x14ac:dyDescent="0.25">
      <c r="D42" s="6">
        <f t="shared" si="0"/>
        <v>0</v>
      </c>
      <c r="G42" s="6">
        <f t="shared" si="1"/>
        <v>0</v>
      </c>
      <c r="I42" s="17">
        <f t="shared" si="2"/>
        <v>0</v>
      </c>
    </row>
    <row r="43" spans="1:9" x14ac:dyDescent="0.25">
      <c r="A43" s="2" t="s">
        <v>19</v>
      </c>
      <c r="B43" s="6">
        <f>B20+B41</f>
        <v>176804.52</v>
      </c>
      <c r="C43" s="6">
        <f>C20+C41</f>
        <v>0</v>
      </c>
      <c r="D43" s="6">
        <f t="shared" si="0"/>
        <v>176804.52</v>
      </c>
      <c r="E43" s="43">
        <f>E20+E41</f>
        <v>79711.049999999988</v>
      </c>
      <c r="F43" s="6">
        <f>F20+F41</f>
        <v>0</v>
      </c>
      <c r="G43" s="6">
        <f t="shared" si="1"/>
        <v>79711.049999999988</v>
      </c>
      <c r="H43" s="6">
        <f>H20+H41</f>
        <v>34464.519999999997</v>
      </c>
      <c r="I43" s="17">
        <f t="shared" si="2"/>
        <v>290980.08999999997</v>
      </c>
    </row>
    <row r="44" spans="1:9" x14ac:dyDescent="0.25">
      <c r="D44" s="6">
        <f t="shared" si="0"/>
        <v>0</v>
      </c>
      <c r="G44" s="6">
        <f t="shared" si="1"/>
        <v>0</v>
      </c>
      <c r="I44" s="17">
        <f t="shared" si="2"/>
        <v>0</v>
      </c>
    </row>
    <row r="45" spans="1:9" x14ac:dyDescent="0.25">
      <c r="A45" s="3" t="s">
        <v>20</v>
      </c>
      <c r="D45" s="6">
        <f t="shared" si="0"/>
        <v>0</v>
      </c>
      <c r="G45" s="6">
        <f t="shared" si="1"/>
        <v>0</v>
      </c>
      <c r="I45" s="17">
        <f t="shared" si="2"/>
        <v>0</v>
      </c>
    </row>
    <row r="46" spans="1:9" x14ac:dyDescent="0.25">
      <c r="A46" s="4" t="s">
        <v>21</v>
      </c>
      <c r="B46" s="20"/>
      <c r="C46" s="20"/>
      <c r="D46" s="6">
        <f>SUM(C46:C46)</f>
        <v>0</v>
      </c>
      <c r="E46" s="46">
        <v>367056.03</v>
      </c>
      <c r="F46" s="20"/>
      <c r="G46" s="6">
        <f t="shared" si="1"/>
        <v>367056.03</v>
      </c>
      <c r="H46" s="20"/>
      <c r="I46" s="17">
        <f t="shared" si="2"/>
        <v>367056.03</v>
      </c>
    </row>
    <row r="47" spans="1:9" x14ac:dyDescent="0.25">
      <c r="A47" s="4" t="s">
        <v>22</v>
      </c>
      <c r="B47" s="20">
        <v>314615.99</v>
      </c>
      <c r="C47" s="20">
        <v>27496.75</v>
      </c>
      <c r="D47" s="6">
        <f t="shared" si="0"/>
        <v>342112.74</v>
      </c>
      <c r="E47" s="46"/>
      <c r="F47" s="20"/>
      <c r="G47" s="6">
        <f t="shared" si="1"/>
        <v>0</v>
      </c>
      <c r="H47" s="20"/>
      <c r="I47" s="17">
        <f t="shared" si="2"/>
        <v>342112.74</v>
      </c>
    </row>
    <row r="48" spans="1:9" x14ac:dyDescent="0.25">
      <c r="A48" s="4" t="s">
        <v>23</v>
      </c>
      <c r="B48" s="20">
        <v>194.65</v>
      </c>
      <c r="C48" s="20"/>
      <c r="D48" s="6">
        <f t="shared" si="0"/>
        <v>194.65</v>
      </c>
      <c r="E48" s="46"/>
      <c r="F48" s="20"/>
      <c r="G48" s="6">
        <f t="shared" si="1"/>
        <v>0</v>
      </c>
      <c r="H48" s="20">
        <v>85.28</v>
      </c>
      <c r="I48" s="17">
        <f t="shared" si="2"/>
        <v>279.93</v>
      </c>
    </row>
    <row r="49" spans="1:9" x14ac:dyDescent="0.25">
      <c r="A49" s="4" t="s">
        <v>24</v>
      </c>
      <c r="B49" s="20">
        <v>27496.75</v>
      </c>
      <c r="C49" s="20">
        <v>-27496.75</v>
      </c>
      <c r="D49" s="6">
        <f t="shared" si="0"/>
        <v>0</v>
      </c>
      <c r="E49" s="46"/>
      <c r="F49" s="20"/>
      <c r="G49" s="6">
        <f t="shared" si="1"/>
        <v>0</v>
      </c>
      <c r="H49" s="20"/>
      <c r="I49" s="17">
        <f t="shared" si="2"/>
        <v>0</v>
      </c>
    </row>
    <row r="50" spans="1:9" x14ac:dyDescent="0.25">
      <c r="A50" s="2" t="s">
        <v>25</v>
      </c>
      <c r="B50" s="6">
        <f>SUM(B46:B49)</f>
        <v>342307.39</v>
      </c>
      <c r="C50" s="6">
        <f>SUM(C46:C49)</f>
        <v>0</v>
      </c>
      <c r="D50" s="6">
        <f t="shared" si="0"/>
        <v>342307.39</v>
      </c>
      <c r="E50" s="43">
        <f>SUM(E46:E49)</f>
        <v>367056.03</v>
      </c>
      <c r="F50" s="6">
        <f>SUM(F46:F49)</f>
        <v>0</v>
      </c>
      <c r="G50" s="6">
        <f t="shared" si="1"/>
        <v>367056.03</v>
      </c>
      <c r="H50" s="6">
        <f>SUM(H46:H49)</f>
        <v>85.28</v>
      </c>
      <c r="I50" s="17">
        <f t="shared" si="2"/>
        <v>709448.70000000007</v>
      </c>
    </row>
    <row r="51" spans="1:9" x14ac:dyDescent="0.25">
      <c r="D51" s="6">
        <f t="shared" si="0"/>
        <v>0</v>
      </c>
      <c r="G51" s="6">
        <f t="shared" si="1"/>
        <v>0</v>
      </c>
      <c r="I51" s="17">
        <f t="shared" si="2"/>
        <v>0</v>
      </c>
    </row>
    <row r="52" spans="1:9" x14ac:dyDescent="0.25">
      <c r="A52" s="3" t="s">
        <v>26</v>
      </c>
      <c r="D52" s="6">
        <f t="shared" si="0"/>
        <v>0</v>
      </c>
      <c r="G52" s="6">
        <f t="shared" si="1"/>
        <v>0</v>
      </c>
      <c r="I52" s="17">
        <f t="shared" si="2"/>
        <v>0</v>
      </c>
    </row>
    <row r="53" spans="1:9" x14ac:dyDescent="0.25">
      <c r="A53" s="4" t="s">
        <v>27</v>
      </c>
      <c r="B53" s="55"/>
      <c r="C53" s="20"/>
      <c r="D53" s="6">
        <f t="shared" si="0"/>
        <v>0</v>
      </c>
      <c r="E53" s="55"/>
      <c r="F53" s="20"/>
      <c r="G53" s="6">
        <f t="shared" si="1"/>
        <v>0</v>
      </c>
      <c r="H53" s="20"/>
      <c r="I53" s="17">
        <f t="shared" si="2"/>
        <v>0</v>
      </c>
    </row>
    <row r="54" spans="1:9" x14ac:dyDescent="0.25">
      <c r="A54" s="4" t="s">
        <v>28</v>
      </c>
      <c r="B54" s="55"/>
      <c r="C54" s="20"/>
      <c r="D54" s="6">
        <f t="shared" si="0"/>
        <v>0</v>
      </c>
      <c r="E54" s="55"/>
      <c r="F54" s="20"/>
      <c r="G54" s="6">
        <f t="shared" si="1"/>
        <v>0</v>
      </c>
      <c r="H54" s="20"/>
      <c r="I54" s="17">
        <f t="shared" si="2"/>
        <v>0</v>
      </c>
    </row>
    <row r="55" spans="1:9" x14ac:dyDescent="0.25">
      <c r="A55" s="4" t="s">
        <v>29</v>
      </c>
      <c r="B55" s="55"/>
      <c r="C55" s="20"/>
      <c r="D55" s="6">
        <f t="shared" si="0"/>
        <v>0</v>
      </c>
      <c r="E55" s="55"/>
      <c r="F55" s="20"/>
      <c r="G55" s="6">
        <f t="shared" si="1"/>
        <v>0</v>
      </c>
      <c r="H55" s="20"/>
      <c r="I55" s="17">
        <f t="shared" si="2"/>
        <v>0</v>
      </c>
    </row>
    <row r="56" spans="1:9" x14ac:dyDescent="0.25">
      <c r="A56" s="4" t="s">
        <v>30</v>
      </c>
      <c r="B56" s="20">
        <v>269933.06</v>
      </c>
      <c r="C56" s="20">
        <v>-4000</v>
      </c>
      <c r="D56" s="6">
        <f t="shared" si="0"/>
        <v>265933.06</v>
      </c>
      <c r="E56" s="46">
        <v>382947.32</v>
      </c>
      <c r="F56" s="20"/>
      <c r="G56" s="6">
        <f t="shared" si="1"/>
        <v>382947.32</v>
      </c>
      <c r="H56" s="20">
        <v>4000</v>
      </c>
      <c r="I56" s="17">
        <f t="shared" si="2"/>
        <v>652880.38</v>
      </c>
    </row>
    <row r="57" spans="1:9" x14ac:dyDescent="0.25">
      <c r="A57" s="4" t="s">
        <v>31</v>
      </c>
      <c r="B57" s="55"/>
      <c r="C57" s="20"/>
      <c r="D57" s="6">
        <f t="shared" si="0"/>
        <v>0</v>
      </c>
      <c r="E57" s="74"/>
      <c r="F57" s="20"/>
      <c r="G57" s="6">
        <f t="shared" si="1"/>
        <v>0</v>
      </c>
      <c r="H57" s="20"/>
      <c r="I57" s="17">
        <f t="shared" si="2"/>
        <v>0</v>
      </c>
    </row>
    <row r="58" spans="1:9" x14ac:dyDescent="0.25">
      <c r="A58" s="4" t="s">
        <v>62</v>
      </c>
      <c r="B58" s="55"/>
      <c r="C58" s="20">
        <v>4000</v>
      </c>
      <c r="D58" s="6">
        <f t="shared" si="0"/>
        <v>4000</v>
      </c>
      <c r="E58" s="74"/>
      <c r="F58" s="20"/>
      <c r="G58" s="6">
        <f t="shared" si="1"/>
        <v>0</v>
      </c>
      <c r="H58" s="20"/>
      <c r="I58" s="17">
        <f t="shared" si="2"/>
        <v>4000</v>
      </c>
    </row>
    <row r="59" spans="1:9" x14ac:dyDescent="0.25">
      <c r="A59" s="2" t="s">
        <v>32</v>
      </c>
      <c r="B59" s="6">
        <f>SUM(B53:B58)</f>
        <v>269933.06</v>
      </c>
      <c r="C59" s="6">
        <f>SUM(C53:C58)</f>
        <v>0</v>
      </c>
      <c r="D59" s="6">
        <f t="shared" si="0"/>
        <v>269933.06</v>
      </c>
      <c r="E59" s="43">
        <f>SUM(E53:E58)</f>
        <v>382947.32</v>
      </c>
      <c r="F59" s="6">
        <f>SUM(F53:F58)</f>
        <v>0</v>
      </c>
      <c r="G59" s="6">
        <f t="shared" si="1"/>
        <v>382947.32</v>
      </c>
      <c r="H59" s="6">
        <f>SUM(H53:H58)</f>
        <v>4000</v>
      </c>
      <c r="I59" s="17">
        <f t="shared" si="2"/>
        <v>656880.38</v>
      </c>
    </row>
    <row r="60" spans="1:9" x14ac:dyDescent="0.25">
      <c r="D60" s="6">
        <f t="shared" si="0"/>
        <v>0</v>
      </c>
      <c r="G60" s="6">
        <f t="shared" si="1"/>
        <v>0</v>
      </c>
      <c r="I60" s="17">
        <f t="shared" si="2"/>
        <v>0</v>
      </c>
    </row>
    <row r="61" spans="1:9" x14ac:dyDescent="0.25">
      <c r="A61" s="2" t="s">
        <v>33</v>
      </c>
      <c r="B61" s="6">
        <f>B50-B59</f>
        <v>72374.330000000016</v>
      </c>
      <c r="C61" s="6">
        <f>C50-C59</f>
        <v>0</v>
      </c>
      <c r="D61" s="6">
        <f t="shared" si="0"/>
        <v>72374.330000000016</v>
      </c>
      <c r="E61" s="43">
        <f>E50-E59</f>
        <v>-15891.289999999979</v>
      </c>
      <c r="F61" s="6">
        <f>F50-F59</f>
        <v>0</v>
      </c>
      <c r="G61" s="6">
        <f t="shared" si="1"/>
        <v>-15891.289999999979</v>
      </c>
      <c r="H61" s="6">
        <f>H50-H59</f>
        <v>-3914.72</v>
      </c>
      <c r="I61" s="17">
        <f t="shared" si="2"/>
        <v>52568.320000000036</v>
      </c>
    </row>
    <row r="62" spans="1:9" x14ac:dyDescent="0.25">
      <c r="A62" s="2"/>
      <c r="I62" s="17"/>
    </row>
    <row r="63" spans="1:9" x14ac:dyDescent="0.25">
      <c r="A63" s="34" t="s">
        <v>300</v>
      </c>
      <c r="B63" s="20"/>
      <c r="C63" s="20"/>
      <c r="D63" s="6">
        <f t="shared" si="0"/>
        <v>0</v>
      </c>
      <c r="E63" s="46"/>
      <c r="F63" s="20"/>
      <c r="G63" s="6">
        <f t="shared" si="1"/>
        <v>0</v>
      </c>
      <c r="H63" s="20"/>
      <c r="I63" s="17">
        <f t="shared" si="2"/>
        <v>0</v>
      </c>
    </row>
    <row r="64" spans="1:9" x14ac:dyDescent="0.25">
      <c r="A64" t="s">
        <v>34</v>
      </c>
      <c r="B64" s="20"/>
      <c r="C64" s="20"/>
      <c r="D64" s="6">
        <f t="shared" si="0"/>
        <v>0</v>
      </c>
      <c r="E64" s="46">
        <v>15891.29</v>
      </c>
      <c r="F64" s="20"/>
      <c r="G64" s="6">
        <f t="shared" si="1"/>
        <v>15891.29</v>
      </c>
      <c r="H64" s="20"/>
      <c r="I64" s="17">
        <f t="shared" si="2"/>
        <v>15891.29</v>
      </c>
    </row>
    <row r="65" spans="1:9" x14ac:dyDescent="0.25">
      <c r="A65" t="s">
        <v>35</v>
      </c>
      <c r="B65" s="20">
        <v>15891.29</v>
      </c>
      <c r="C65" s="20"/>
      <c r="D65" s="6">
        <f t="shared" si="0"/>
        <v>15891.29</v>
      </c>
      <c r="E65" s="46"/>
      <c r="F65" s="20"/>
      <c r="G65" s="6">
        <f t="shared" si="1"/>
        <v>0</v>
      </c>
      <c r="H65" s="20"/>
      <c r="I65" s="17">
        <f t="shared" si="2"/>
        <v>15891.29</v>
      </c>
    </row>
    <row r="66" spans="1:9" x14ac:dyDescent="0.25">
      <c r="A66" s="2" t="s">
        <v>36</v>
      </c>
      <c r="B66" s="6">
        <f>B63+B64-B65</f>
        <v>-15891.29</v>
      </c>
      <c r="C66" s="6">
        <f>C63+C64-C65</f>
        <v>0</v>
      </c>
      <c r="D66" s="6">
        <f t="shared" si="0"/>
        <v>-15891.29</v>
      </c>
      <c r="E66" s="43">
        <f>E63+E64-E65</f>
        <v>15891.29</v>
      </c>
      <c r="F66" s="6">
        <f>F63+F64-F65</f>
        <v>0</v>
      </c>
      <c r="G66" s="6">
        <f t="shared" si="1"/>
        <v>15891.29</v>
      </c>
      <c r="H66" s="6">
        <f>H63+H64-H65</f>
        <v>0</v>
      </c>
      <c r="I66" s="17">
        <f t="shared" si="2"/>
        <v>0</v>
      </c>
    </row>
    <row r="67" spans="1:9" x14ac:dyDescent="0.25">
      <c r="D67" s="6">
        <f t="shared" si="0"/>
        <v>0</v>
      </c>
      <c r="G67" s="6">
        <f t="shared" si="1"/>
        <v>0</v>
      </c>
      <c r="I67" s="17">
        <f t="shared" si="2"/>
        <v>0</v>
      </c>
    </row>
    <row r="68" spans="1:9" x14ac:dyDescent="0.25">
      <c r="A68" s="2" t="s">
        <v>37</v>
      </c>
      <c r="B68" s="6">
        <f>B61+B66</f>
        <v>56483.040000000015</v>
      </c>
      <c r="C68" s="6">
        <f>C61+C66</f>
        <v>0</v>
      </c>
      <c r="D68" s="6">
        <f t="shared" si="0"/>
        <v>56483.040000000015</v>
      </c>
      <c r="E68" s="43">
        <f>E61+E66</f>
        <v>2.1827872842550278E-11</v>
      </c>
      <c r="F68" s="6">
        <f>F61+F66</f>
        <v>0</v>
      </c>
      <c r="G68" s="6">
        <f t="shared" si="1"/>
        <v>2.1827872842550278E-11</v>
      </c>
      <c r="H68" s="6">
        <f>H61+H66</f>
        <v>-3914.72</v>
      </c>
      <c r="I68" s="17">
        <f t="shared" si="2"/>
        <v>52568.320000000036</v>
      </c>
    </row>
    <row r="69" spans="1:9" x14ac:dyDescent="0.25">
      <c r="A69" t="s">
        <v>38</v>
      </c>
      <c r="B69" s="6">
        <f>B70-B68</f>
        <v>106569.50999999998</v>
      </c>
      <c r="C69" s="6">
        <f>C70-C68</f>
        <v>0</v>
      </c>
      <c r="D69" s="6">
        <f t="shared" si="0"/>
        <v>106569.50999999998</v>
      </c>
      <c r="E69" s="43">
        <f>E70-E68</f>
        <v>-136260.28000000003</v>
      </c>
      <c r="F69" s="6">
        <f>F70-F68</f>
        <v>0</v>
      </c>
      <c r="G69" s="6">
        <f t="shared" si="1"/>
        <v>-136260.28000000003</v>
      </c>
      <c r="H69" s="6">
        <f>H70-H68</f>
        <v>38379.24</v>
      </c>
      <c r="I69" s="17">
        <f t="shared" si="2"/>
        <v>8688.4699999999502</v>
      </c>
    </row>
    <row r="70" spans="1:9" x14ac:dyDescent="0.25">
      <c r="A70" s="2" t="s">
        <v>39</v>
      </c>
      <c r="B70" s="6">
        <f>B41</f>
        <v>163052.54999999999</v>
      </c>
      <c r="C70" s="6">
        <f>C41</f>
        <v>0</v>
      </c>
      <c r="D70" s="6">
        <f t="shared" si="0"/>
        <v>163052.54999999999</v>
      </c>
      <c r="E70" s="43">
        <f>E41</f>
        <v>-136260.28</v>
      </c>
      <c r="F70" s="6">
        <f>F41</f>
        <v>0</v>
      </c>
      <c r="G70" s="6">
        <f t="shared" si="1"/>
        <v>-136260.28</v>
      </c>
      <c r="H70" s="6">
        <f>H41</f>
        <v>34464.519999999997</v>
      </c>
      <c r="I70" s="17">
        <f t="shared" si="2"/>
        <v>61256.789999999986</v>
      </c>
    </row>
  </sheetData>
  <sheetProtection sheet="1" objects="1" scenarios="1"/>
  <dataConsolidate link="1"/>
  <customSheetViews>
    <customSheetView guid="{E68B3865-8D72-47E7-BE32-0FF7EB09E889}" scale="90" fitToPage="1">
      <pane xSplit="1" ySplit="5" topLeftCell="B17" activePane="bottomRight" state="frozen"/>
      <selection pane="bottomRight" activeCell="C59" sqref="C59"/>
      <pageMargins left="0.7" right="0.7" top="0.75" bottom="0.75" header="0.3" footer="0.3"/>
      <pageSetup scale="60" orientation="portrait" horizontalDpi="1200" r:id="rId1"/>
    </customSheetView>
    <customSheetView guid="{DE6E911D-85BF-467A-AA00-1E84C5349CF7}" scale="90" fitToPage="1">
      <pane xSplit="1" ySplit="5" topLeftCell="B17" activePane="bottomRight" state="frozen"/>
      <selection pane="bottomRight" activeCell="C59" sqref="C59"/>
      <pageMargins left="0.7" right="0.7" top="0.75" bottom="0.75" header="0.3" footer="0.3"/>
      <pageSetup scale="60" orientation="portrait" horizontalDpi="1200" r:id="rId2"/>
    </customSheetView>
    <customSheetView guid="{A6F79E61-D6A3-44FD-B4A4-4724DF74349B}" showPageBreaks="1" fitToPage="1">
      <selection activeCell="B10" sqref="B10"/>
      <pageMargins left="0.7" right="0.7" top="0.75" bottom="0.75" header="0.3" footer="0.3"/>
      <pageSetup scale="64" orientation="portrait" horizontalDpi="1200" r:id="rId3"/>
    </customSheetView>
    <customSheetView guid="{D62C3EC3-27D1-41F3-9A4E-06307CA202CE}" showPageBreaks="1" fitToPage="1" showRuler="0">
      <selection activeCell="I9" sqref="I9"/>
      <pageMargins left="0.7" right="0.7" top="0.75" bottom="0.75" header="0.3" footer="0.3"/>
      <pageSetup scale="68" orientation="portrait" horizontalDpi="1200" r:id="rId4"/>
      <headerFooter alignWithMargins="0"/>
    </customSheetView>
    <customSheetView guid="{EC03C3C8-7E57-47C6-8413-F484E8C46A0C}" showPageBreaks="1" fitToPage="1" topLeftCell="A33">
      <selection activeCell="I48" sqref="I48"/>
      <pageMargins left="0.7" right="0.7" top="0.75" bottom="0.75" header="0.3" footer="0.3"/>
      <pageSetup scale="68" orientation="portrait" horizontalDpi="1200" r:id="rId5"/>
    </customSheetView>
    <customSheetView guid="{2B2709E2-6DF4-4CC4-88D0-056FB306137C}" fitToPage="1">
      <pane xSplit="1" ySplit="5" topLeftCell="B39" activePane="bottomRight" state="frozen"/>
      <selection pane="bottomRight" activeCell="B48" sqref="B48"/>
      <pageMargins left="0.7" right="0.7" top="0.75" bottom="0.75" header="0.3" footer="0.3"/>
      <pageSetup scale="68" orientation="portrait" horizontalDpi="1200" r:id="rId6"/>
    </customSheetView>
  </customSheetViews>
  <phoneticPr fontId="0" type="noConversion"/>
  <pageMargins left="0.7" right="0.7" top="0.75" bottom="0.75" header="0.3" footer="0.3"/>
  <pageSetup scale="60" orientation="portrait" horizontalDpi="1200"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A3" zoomScale="80" zoomScaleNormal="80" workbookViewId="0">
      <selection activeCell="C27" sqref="C27"/>
    </sheetView>
  </sheetViews>
  <sheetFormatPr defaultRowHeight="15" outlineLevelCol="1" x14ac:dyDescent="0.25"/>
  <cols>
    <col min="1" max="1" width="33.5703125" customWidth="1"/>
    <col min="2" max="2" width="12.7109375" bestFit="1" customWidth="1" outlineLevel="1"/>
    <col min="3" max="3" width="10.85546875" bestFit="1" customWidth="1" outlineLevel="1"/>
    <col min="4" max="4" width="12.7109375" bestFit="1" customWidth="1"/>
    <col min="5" max="5" width="15.85546875" customWidth="1"/>
    <col min="6" max="6" width="12.7109375" bestFit="1" customWidth="1"/>
  </cols>
  <sheetData>
    <row r="1" spans="1:7" ht="23.25" x14ac:dyDescent="0.35">
      <c r="A1" s="5" t="s">
        <v>251</v>
      </c>
      <c r="B1" s="6"/>
      <c r="C1" s="6"/>
      <c r="D1" s="6"/>
      <c r="E1" s="6"/>
      <c r="F1" s="6"/>
    </row>
    <row r="2" spans="1:7" x14ac:dyDescent="0.25">
      <c r="A2" t="s">
        <v>1</v>
      </c>
      <c r="B2" s="6"/>
      <c r="C2" s="6"/>
      <c r="D2" s="6"/>
      <c r="E2" s="6"/>
      <c r="F2" s="6"/>
    </row>
    <row r="3" spans="1:7" x14ac:dyDescent="0.25">
      <c r="A3" s="1">
        <f>'ALL GOVERNMENT FUNDS'!A3</f>
        <v>43830</v>
      </c>
      <c r="B3" s="6"/>
      <c r="C3" s="6"/>
      <c r="D3" s="6"/>
      <c r="E3" s="6"/>
      <c r="F3" s="6"/>
    </row>
    <row r="4" spans="1:7" x14ac:dyDescent="0.25">
      <c r="A4" s="1"/>
      <c r="B4" s="6"/>
      <c r="C4" s="6"/>
      <c r="D4" s="6"/>
      <c r="E4" s="6"/>
      <c r="F4" s="6"/>
    </row>
    <row r="5" spans="1:7" ht="30" x14ac:dyDescent="0.25">
      <c r="A5" s="1"/>
      <c r="B5" s="7" t="s">
        <v>256</v>
      </c>
      <c r="C5" s="7" t="s">
        <v>47</v>
      </c>
      <c r="D5" s="7" t="s">
        <v>301</v>
      </c>
      <c r="E5" s="7" t="s">
        <v>255</v>
      </c>
      <c r="F5" s="18" t="s">
        <v>254</v>
      </c>
    </row>
    <row r="6" spans="1:7" x14ac:dyDescent="0.25">
      <c r="B6" s="6"/>
      <c r="C6" s="6"/>
      <c r="D6" s="6"/>
      <c r="E6" s="6"/>
      <c r="F6" s="17"/>
    </row>
    <row r="7" spans="1:7" x14ac:dyDescent="0.25">
      <c r="A7" s="3" t="s">
        <v>2</v>
      </c>
      <c r="B7" s="6"/>
      <c r="C7" s="6"/>
      <c r="D7" s="6"/>
      <c r="E7" s="6"/>
      <c r="F7" s="17"/>
    </row>
    <row r="8" spans="1:7" x14ac:dyDescent="0.25">
      <c r="A8" s="4" t="s">
        <v>3</v>
      </c>
      <c r="B8" s="20"/>
      <c r="C8" s="20"/>
      <c r="D8" s="6">
        <f t="shared" ref="D8:D14" si="0">B8+C8</f>
        <v>0</v>
      </c>
      <c r="E8" s="20">
        <v>18972.54</v>
      </c>
      <c r="F8" s="17">
        <f t="shared" ref="F8:F14" si="1">D8+E8</f>
        <v>18972.54</v>
      </c>
      <c r="G8" s="60"/>
    </row>
    <row r="9" spans="1:7" x14ac:dyDescent="0.25">
      <c r="A9" s="4" t="s">
        <v>189</v>
      </c>
      <c r="B9" s="20"/>
      <c r="C9" s="20"/>
      <c r="D9" s="6">
        <f t="shared" si="0"/>
        <v>0</v>
      </c>
      <c r="E9" s="20"/>
      <c r="F9" s="17">
        <f t="shared" si="1"/>
        <v>0</v>
      </c>
    </row>
    <row r="10" spans="1:7" x14ac:dyDescent="0.25">
      <c r="A10" s="4" t="s">
        <v>4</v>
      </c>
      <c r="B10" s="20"/>
      <c r="C10" s="20"/>
      <c r="D10" s="6">
        <f t="shared" si="0"/>
        <v>0</v>
      </c>
      <c r="E10" s="20"/>
      <c r="F10" s="17">
        <f t="shared" si="1"/>
        <v>0</v>
      </c>
    </row>
    <row r="11" spans="1:7" x14ac:dyDescent="0.25">
      <c r="A11" s="4" t="s">
        <v>6</v>
      </c>
      <c r="B11" s="20"/>
      <c r="C11" s="20"/>
      <c r="D11" s="6">
        <f t="shared" si="0"/>
        <v>0</v>
      </c>
      <c r="E11" s="20"/>
      <c r="F11" s="17">
        <f t="shared" si="1"/>
        <v>0</v>
      </c>
    </row>
    <row r="12" spans="1:7" x14ac:dyDescent="0.25">
      <c r="A12" s="4" t="s">
        <v>5</v>
      </c>
      <c r="B12" s="20"/>
      <c r="C12" s="20"/>
      <c r="D12" s="6">
        <f t="shared" si="0"/>
        <v>0</v>
      </c>
      <c r="E12" s="20"/>
      <c r="F12" s="17">
        <f t="shared" si="1"/>
        <v>0</v>
      </c>
    </row>
    <row r="13" spans="1:7" x14ac:dyDescent="0.25">
      <c r="A13" s="4" t="s">
        <v>61</v>
      </c>
      <c r="B13" s="20"/>
      <c r="C13" s="20"/>
      <c r="D13" s="6">
        <f t="shared" si="0"/>
        <v>0</v>
      </c>
      <c r="E13" s="20"/>
      <c r="F13" s="17">
        <f t="shared" si="1"/>
        <v>0</v>
      </c>
    </row>
    <row r="14" spans="1:7" x14ac:dyDescent="0.25">
      <c r="A14" s="2" t="s">
        <v>7</v>
      </c>
      <c r="B14" s="6">
        <f>SUM(B8:B13)</f>
        <v>0</v>
      </c>
      <c r="C14" s="6">
        <f>SUM(C8:C13)</f>
        <v>0</v>
      </c>
      <c r="D14" s="6">
        <f t="shared" si="0"/>
        <v>0</v>
      </c>
      <c r="E14" s="6">
        <f>SUM(E8:E13)</f>
        <v>18972.54</v>
      </c>
      <c r="F14" s="17">
        <f t="shared" si="1"/>
        <v>18972.54</v>
      </c>
    </row>
    <row r="15" spans="1:7" x14ac:dyDescent="0.25">
      <c r="B15" s="6"/>
      <c r="C15" s="6"/>
      <c r="D15" s="6"/>
      <c r="E15" s="6"/>
      <c r="F15" s="17"/>
    </row>
    <row r="16" spans="1:7" x14ac:dyDescent="0.25">
      <c r="A16" s="3" t="s">
        <v>8</v>
      </c>
      <c r="B16" s="6"/>
      <c r="C16" s="6"/>
      <c r="D16" s="6"/>
      <c r="E16" s="6"/>
      <c r="F16" s="17"/>
    </row>
    <row r="17" spans="1:6" x14ac:dyDescent="0.25">
      <c r="A17" s="4" t="s">
        <v>9</v>
      </c>
      <c r="B17" s="20"/>
      <c r="C17" s="20"/>
      <c r="D17" s="6">
        <f t="shared" ref="D17:D22" si="2">B17+C17</f>
        <v>0</v>
      </c>
      <c r="E17" s="20"/>
      <c r="F17" s="17">
        <f t="shared" ref="F17:F22" si="3">D17+E17</f>
        <v>0</v>
      </c>
    </row>
    <row r="18" spans="1:6" x14ac:dyDescent="0.25">
      <c r="A18" s="4" t="s">
        <v>10</v>
      </c>
      <c r="B18" s="20"/>
      <c r="C18" s="20"/>
      <c r="D18" s="6">
        <f t="shared" si="2"/>
        <v>0</v>
      </c>
      <c r="E18" s="20"/>
      <c r="F18" s="17">
        <f t="shared" si="3"/>
        <v>0</v>
      </c>
    </row>
    <row r="19" spans="1:6" x14ac:dyDescent="0.25">
      <c r="A19" s="4" t="s">
        <v>190</v>
      </c>
      <c r="B19" s="20"/>
      <c r="C19" s="20"/>
      <c r="D19" s="6">
        <f t="shared" si="2"/>
        <v>0</v>
      </c>
      <c r="E19" s="20"/>
      <c r="F19" s="17">
        <f t="shared" si="3"/>
        <v>0</v>
      </c>
    </row>
    <row r="20" spans="1:6" x14ac:dyDescent="0.25">
      <c r="A20" s="4" t="s">
        <v>11</v>
      </c>
      <c r="B20" s="20"/>
      <c r="C20" s="20"/>
      <c r="D20" s="6">
        <f t="shared" si="2"/>
        <v>0</v>
      </c>
      <c r="E20" s="20"/>
      <c r="F20" s="17">
        <f t="shared" si="3"/>
        <v>0</v>
      </c>
    </row>
    <row r="21" spans="1:6" x14ac:dyDescent="0.25">
      <c r="A21" s="4" t="s">
        <v>12</v>
      </c>
      <c r="B21" s="20"/>
      <c r="C21" s="20"/>
      <c r="D21" s="6">
        <f t="shared" si="2"/>
        <v>0</v>
      </c>
      <c r="E21" s="20">
        <v>327.41000000000003</v>
      </c>
      <c r="F21" s="17">
        <f t="shared" si="3"/>
        <v>327.41000000000003</v>
      </c>
    </row>
    <row r="22" spans="1:6" x14ac:dyDescent="0.25">
      <c r="A22" s="2" t="s">
        <v>13</v>
      </c>
      <c r="B22" s="6">
        <f>SUM(B17:B21)</f>
        <v>0</v>
      </c>
      <c r="C22" s="6">
        <f>SUM(C17:C21)</f>
        <v>0</v>
      </c>
      <c r="D22" s="6">
        <f t="shared" si="2"/>
        <v>0</v>
      </c>
      <c r="E22" s="6">
        <f>SUM(E17:E21)</f>
        <v>327.41000000000003</v>
      </c>
      <c r="F22" s="17">
        <f t="shared" si="3"/>
        <v>327.41000000000003</v>
      </c>
    </row>
    <row r="23" spans="1:6" x14ac:dyDescent="0.25">
      <c r="B23" s="6"/>
      <c r="C23" s="6"/>
      <c r="D23" s="6"/>
      <c r="E23" s="6"/>
      <c r="F23" s="17"/>
    </row>
    <row r="24" spans="1:6" x14ac:dyDescent="0.25">
      <c r="A24" s="3" t="s">
        <v>14</v>
      </c>
      <c r="B24" s="6"/>
      <c r="C24" s="6"/>
      <c r="D24" s="6"/>
      <c r="E24" s="6"/>
      <c r="F24" s="17"/>
    </row>
    <row r="25" spans="1:6" x14ac:dyDescent="0.25">
      <c r="A25" s="4" t="s">
        <v>15</v>
      </c>
      <c r="B25" s="20"/>
      <c r="C25" s="20"/>
      <c r="D25" s="6">
        <f>B25+C25</f>
        <v>0</v>
      </c>
      <c r="E25" s="20"/>
      <c r="F25" s="17">
        <f>D25+E25</f>
        <v>0</v>
      </c>
    </row>
    <row r="26" spans="1:6" x14ac:dyDescent="0.25">
      <c r="A26" s="4" t="s">
        <v>16</v>
      </c>
      <c r="B26" s="20"/>
      <c r="C26" s="20"/>
      <c r="D26" s="6">
        <f>B26+C26</f>
        <v>0</v>
      </c>
      <c r="E26" s="20"/>
      <c r="F26" s="17">
        <f>D26+E26</f>
        <v>0</v>
      </c>
    </row>
    <row r="27" spans="1:6" x14ac:dyDescent="0.25">
      <c r="A27" s="4" t="s">
        <v>17</v>
      </c>
      <c r="B27" s="20"/>
      <c r="C27" s="20"/>
      <c r="D27" s="6">
        <f>B27+C27</f>
        <v>0</v>
      </c>
      <c r="E27" s="20">
        <v>18645.13</v>
      </c>
      <c r="F27" s="17">
        <f>D27+E27</f>
        <v>18645.13</v>
      </c>
    </row>
    <row r="28" spans="1:6" x14ac:dyDescent="0.25">
      <c r="A28" s="2" t="s">
        <v>18</v>
      </c>
      <c r="B28" s="6">
        <f>SUM(B25:B27)</f>
        <v>0</v>
      </c>
      <c r="C28" s="6">
        <f>SUM(C25:C27)</f>
        <v>0</v>
      </c>
      <c r="D28" s="6">
        <f>B28+C28</f>
        <v>0</v>
      </c>
      <c r="E28" s="6">
        <f>SUM(E25:E27)</f>
        <v>18645.13</v>
      </c>
      <c r="F28" s="17">
        <f>D28+E28</f>
        <v>18645.13</v>
      </c>
    </row>
    <row r="29" spans="1:6" x14ac:dyDescent="0.25">
      <c r="B29" s="6"/>
      <c r="C29" s="6"/>
      <c r="D29" s="6"/>
      <c r="E29" s="6"/>
      <c r="F29" s="17"/>
    </row>
    <row r="30" spans="1:6" x14ac:dyDescent="0.25">
      <c r="A30" s="2" t="s">
        <v>19</v>
      </c>
      <c r="B30" s="6">
        <f>B22+B28</f>
        <v>0</v>
      </c>
      <c r="C30" s="6">
        <f>C22+C28</f>
        <v>0</v>
      </c>
      <c r="D30" s="6">
        <f>B30+C30</f>
        <v>0</v>
      </c>
      <c r="E30" s="6">
        <f>E22+E28</f>
        <v>18972.54</v>
      </c>
      <c r="F30" s="17">
        <f>D30+E30</f>
        <v>18972.54</v>
      </c>
    </row>
    <row r="31" spans="1:6" x14ac:dyDescent="0.25">
      <c r="B31" s="49" t="str">
        <f>IF(B14=B30,"YES","NO")</f>
        <v>YES</v>
      </c>
      <c r="C31" s="49" t="str">
        <f>IF(C14=C30,"YES","NO")</f>
        <v>YES</v>
      </c>
      <c r="D31" s="49" t="str">
        <f>IF(D14=D30,"YES","NO")</f>
        <v>YES</v>
      </c>
      <c r="E31" s="49" t="str">
        <f>IF(E14=E30,"YES","NO")</f>
        <v>YES</v>
      </c>
      <c r="F31" s="49" t="str">
        <f>IF(F14=F30,"YES","NO")</f>
        <v>YES</v>
      </c>
    </row>
    <row r="32" spans="1:6" x14ac:dyDescent="0.25">
      <c r="A32" s="3" t="s">
        <v>20</v>
      </c>
      <c r="B32" s="6"/>
      <c r="C32" s="6"/>
      <c r="D32" s="6"/>
      <c r="E32" s="6"/>
      <c r="F32" s="17"/>
    </row>
    <row r="33" spans="1:6" x14ac:dyDescent="0.25">
      <c r="A33" s="4" t="s">
        <v>21</v>
      </c>
      <c r="B33" s="20"/>
      <c r="C33" s="20"/>
      <c r="D33" s="6">
        <f>B33+C33</f>
        <v>0</v>
      </c>
      <c r="E33" s="20"/>
      <c r="F33" s="17">
        <f t="shared" ref="F33:F38" si="4">D33+E33</f>
        <v>0</v>
      </c>
    </row>
    <row r="34" spans="1:6" x14ac:dyDescent="0.25">
      <c r="A34" s="4" t="s">
        <v>22</v>
      </c>
      <c r="B34" s="20"/>
      <c r="C34" s="20"/>
      <c r="D34" s="6">
        <f>B34+C34</f>
        <v>0</v>
      </c>
      <c r="E34" s="20"/>
      <c r="F34" s="17">
        <f t="shared" si="4"/>
        <v>0</v>
      </c>
    </row>
    <row r="35" spans="1:6" x14ac:dyDescent="0.25">
      <c r="A35" s="4" t="s">
        <v>201</v>
      </c>
      <c r="B35" s="20"/>
      <c r="C35" s="20"/>
      <c r="D35" s="6">
        <f>B35+C35</f>
        <v>0</v>
      </c>
      <c r="E35" s="20"/>
      <c r="F35" s="17">
        <f t="shared" si="4"/>
        <v>0</v>
      </c>
    </row>
    <row r="36" spans="1:6" x14ac:dyDescent="0.25">
      <c r="A36" s="4" t="s">
        <v>23</v>
      </c>
      <c r="B36" s="20"/>
      <c r="C36" s="20"/>
      <c r="D36" s="6">
        <f>B36+C36</f>
        <v>0</v>
      </c>
      <c r="E36" s="20">
        <v>38.21</v>
      </c>
      <c r="F36" s="17">
        <f t="shared" si="4"/>
        <v>38.21</v>
      </c>
    </row>
    <row r="37" spans="1:6" x14ac:dyDescent="0.25">
      <c r="A37" s="4" t="s">
        <v>24</v>
      </c>
      <c r="B37" s="20"/>
      <c r="C37" s="20"/>
      <c r="D37" s="6">
        <f>B37+C37</f>
        <v>0</v>
      </c>
      <c r="E37" s="20"/>
      <c r="F37" s="17">
        <f t="shared" si="4"/>
        <v>0</v>
      </c>
    </row>
    <row r="38" spans="1:6" x14ac:dyDescent="0.25">
      <c r="A38" s="2" t="s">
        <v>25</v>
      </c>
      <c r="B38" s="6">
        <f>SUM(B33:B37)</f>
        <v>0</v>
      </c>
      <c r="C38" s="6">
        <f>SUM(C33:C37)</f>
        <v>0</v>
      </c>
      <c r="D38" s="6">
        <f>SUM(D33:D37)</f>
        <v>0</v>
      </c>
      <c r="E38" s="6">
        <f>SUM(E33:E37)</f>
        <v>38.21</v>
      </c>
      <c r="F38" s="17">
        <f t="shared" si="4"/>
        <v>38.21</v>
      </c>
    </row>
    <row r="39" spans="1:6" x14ac:dyDescent="0.25">
      <c r="B39" s="6"/>
      <c r="C39" s="6"/>
      <c r="D39" s="6"/>
      <c r="E39" s="6"/>
      <c r="F39" s="17"/>
    </row>
    <row r="40" spans="1:6" x14ac:dyDescent="0.25">
      <c r="A40" s="3" t="s">
        <v>26</v>
      </c>
      <c r="B40" s="6"/>
      <c r="C40" s="6"/>
      <c r="D40" s="6"/>
      <c r="E40" s="6"/>
      <c r="F40" s="17"/>
    </row>
    <row r="41" spans="1:6" x14ac:dyDescent="0.25">
      <c r="A41" s="4" t="s">
        <v>27</v>
      </c>
      <c r="B41" s="55"/>
      <c r="C41" s="20"/>
      <c r="D41" s="6"/>
      <c r="E41" s="20"/>
      <c r="F41" s="17">
        <f t="shared" ref="F41:F47" si="5">D41+E41</f>
        <v>0</v>
      </c>
    </row>
    <row r="42" spans="1:6" x14ac:dyDescent="0.25">
      <c r="A42" s="4" t="s">
        <v>28</v>
      </c>
      <c r="B42" s="55"/>
      <c r="C42" s="20"/>
      <c r="D42" s="6">
        <f>B42+C42</f>
        <v>0</v>
      </c>
      <c r="E42" s="20"/>
      <c r="F42" s="17">
        <f t="shared" si="5"/>
        <v>0</v>
      </c>
    </row>
    <row r="43" spans="1:6" x14ac:dyDescent="0.25">
      <c r="A43" s="4" t="s">
        <v>29</v>
      </c>
      <c r="B43" s="55"/>
      <c r="C43" s="20"/>
      <c r="D43" s="6">
        <f>B43+C43</f>
        <v>0</v>
      </c>
      <c r="E43" s="20"/>
      <c r="F43" s="17">
        <f t="shared" si="5"/>
        <v>0</v>
      </c>
    </row>
    <row r="44" spans="1:6" x14ac:dyDescent="0.25">
      <c r="A44" s="4" t="s">
        <v>30</v>
      </c>
      <c r="B44" s="55"/>
      <c r="C44" s="20"/>
      <c r="D44" s="6">
        <f>B44+C44</f>
        <v>0</v>
      </c>
      <c r="E44" s="20"/>
      <c r="F44" s="17">
        <f t="shared" si="5"/>
        <v>0</v>
      </c>
    </row>
    <row r="45" spans="1:6" x14ac:dyDescent="0.25">
      <c r="A45" s="4" t="s">
        <v>31</v>
      </c>
      <c r="B45" s="20"/>
      <c r="C45" s="20"/>
      <c r="D45" s="6">
        <f>B45+C45</f>
        <v>0</v>
      </c>
      <c r="E45" s="20"/>
      <c r="F45" s="17">
        <f t="shared" si="5"/>
        <v>0</v>
      </c>
    </row>
    <row r="46" spans="1:6" x14ac:dyDescent="0.25">
      <c r="A46" s="4" t="s">
        <v>62</v>
      </c>
      <c r="B46" s="55"/>
      <c r="C46" s="20"/>
      <c r="D46" s="6"/>
      <c r="E46" s="20"/>
      <c r="F46" s="17">
        <f t="shared" si="5"/>
        <v>0</v>
      </c>
    </row>
    <row r="47" spans="1:6" x14ac:dyDescent="0.25">
      <c r="A47" s="2" t="s">
        <v>32</v>
      </c>
      <c r="B47" s="6">
        <f>SUM(B41:B46)</f>
        <v>0</v>
      </c>
      <c r="C47" s="6">
        <f>SUM(C41:C46)</f>
        <v>0</v>
      </c>
      <c r="D47" s="6">
        <f>SUM(D41:D46)</f>
        <v>0</v>
      </c>
      <c r="E47" s="6">
        <f>SUM(E41:E46)</f>
        <v>0</v>
      </c>
      <c r="F47" s="17">
        <f t="shared" si="5"/>
        <v>0</v>
      </c>
    </row>
    <row r="48" spans="1:6" x14ac:dyDescent="0.25">
      <c r="B48" s="6"/>
      <c r="C48" s="6"/>
      <c r="D48" s="6"/>
      <c r="E48" s="6"/>
      <c r="F48" s="17"/>
    </row>
    <row r="49" spans="1:6" x14ac:dyDescent="0.25">
      <c r="A49" s="2" t="s">
        <v>33</v>
      </c>
      <c r="B49" s="6">
        <f>B38-B47</f>
        <v>0</v>
      </c>
      <c r="C49" s="6">
        <f>C38-C47</f>
        <v>0</v>
      </c>
      <c r="D49" s="6">
        <f>D38-D47</f>
        <v>0</v>
      </c>
      <c r="E49" s="6">
        <f>E38-E47</f>
        <v>38.21</v>
      </c>
      <c r="F49" s="17">
        <f>D49+E49</f>
        <v>38.21</v>
      </c>
    </row>
    <row r="50" spans="1:6" x14ac:dyDescent="0.25">
      <c r="B50" s="6"/>
      <c r="C50" s="6"/>
      <c r="D50" s="6"/>
      <c r="E50" s="6"/>
      <c r="F50" s="17"/>
    </row>
    <row r="51" spans="1:6" x14ac:dyDescent="0.25">
      <c r="A51" t="s">
        <v>300</v>
      </c>
      <c r="B51" s="20"/>
      <c r="C51" s="20"/>
      <c r="D51" s="6">
        <f>B51+C51</f>
        <v>0</v>
      </c>
      <c r="E51" s="20"/>
      <c r="F51" s="17">
        <f>D51+E51</f>
        <v>0</v>
      </c>
    </row>
    <row r="52" spans="1:6" x14ac:dyDescent="0.25">
      <c r="A52" t="s">
        <v>34</v>
      </c>
      <c r="B52" s="20"/>
      <c r="C52" s="20"/>
      <c r="D52" s="6">
        <f>B52+C52</f>
        <v>0</v>
      </c>
      <c r="E52" s="20"/>
      <c r="F52" s="17">
        <f>D52+E52</f>
        <v>0</v>
      </c>
    </row>
    <row r="53" spans="1:6" x14ac:dyDescent="0.25">
      <c r="A53" t="s">
        <v>35</v>
      </c>
      <c r="B53" s="20"/>
      <c r="C53" s="20"/>
      <c r="D53" s="6">
        <f>B53+C53</f>
        <v>0</v>
      </c>
      <c r="E53" s="20"/>
      <c r="F53" s="17">
        <f>D53+E53</f>
        <v>0</v>
      </c>
    </row>
    <row r="54" spans="1:6" x14ac:dyDescent="0.25">
      <c r="A54" s="2" t="s">
        <v>36</v>
      </c>
      <c r="B54" s="6">
        <f>B51+B52-B53</f>
        <v>0</v>
      </c>
      <c r="C54" s="6">
        <f>C51+C52-C53</f>
        <v>0</v>
      </c>
      <c r="D54" s="6">
        <f>B54+C54</f>
        <v>0</v>
      </c>
      <c r="E54" s="6">
        <f>E51+E52-E53</f>
        <v>0</v>
      </c>
      <c r="F54" s="17">
        <f>D54+E54</f>
        <v>0</v>
      </c>
    </row>
    <row r="55" spans="1:6" x14ac:dyDescent="0.25">
      <c r="B55" s="6"/>
      <c r="C55" s="6"/>
      <c r="D55" s="6"/>
      <c r="E55" s="6"/>
      <c r="F55" s="17"/>
    </row>
    <row r="56" spans="1:6" x14ac:dyDescent="0.25">
      <c r="A56" s="2" t="s">
        <v>37</v>
      </c>
      <c r="B56" s="29">
        <f>B49+B54</f>
        <v>0</v>
      </c>
      <c r="C56" s="29">
        <f>C49+C54</f>
        <v>0</v>
      </c>
      <c r="D56" s="6">
        <f>D49+D54</f>
        <v>0</v>
      </c>
      <c r="E56" s="6">
        <f>E49+E54</f>
        <v>38.21</v>
      </c>
      <c r="F56" s="17">
        <f>D56+E56</f>
        <v>38.21</v>
      </c>
    </row>
    <row r="57" spans="1:6" x14ac:dyDescent="0.25">
      <c r="A57" t="s">
        <v>38</v>
      </c>
      <c r="B57" s="6">
        <f>B58-B56</f>
        <v>0</v>
      </c>
      <c r="C57" s="6">
        <f>C58-C56</f>
        <v>0</v>
      </c>
      <c r="D57" s="6">
        <f>D58-D56</f>
        <v>0</v>
      </c>
      <c r="E57" s="6">
        <f>E58-E56</f>
        <v>18606.920000000002</v>
      </c>
      <c r="F57" s="17">
        <f>D57+E57</f>
        <v>18606.920000000002</v>
      </c>
    </row>
    <row r="58" spans="1:6" x14ac:dyDescent="0.25">
      <c r="A58" s="2" t="s">
        <v>39</v>
      </c>
      <c r="B58" s="6">
        <f>B28</f>
        <v>0</v>
      </c>
      <c r="C58" s="6">
        <f>C28</f>
        <v>0</v>
      </c>
      <c r="D58" s="6">
        <f>D28</f>
        <v>0</v>
      </c>
      <c r="E58" s="6">
        <f>E28</f>
        <v>18645.13</v>
      </c>
      <c r="F58" s="17">
        <f>D58+E58</f>
        <v>18645.13</v>
      </c>
    </row>
  </sheetData>
  <sheetProtection sheet="1" objects="1" scenarios="1"/>
  <customSheetViews>
    <customSheetView guid="{E68B3865-8D72-47E7-BE32-0FF7EB09E889}" scale="80" fitToPage="1" topLeftCell="A3">
      <selection activeCell="C27" sqref="C27"/>
      <pageMargins left="0.7" right="0.7" top="0.75" bottom="0.75" header="0.3" footer="0.3"/>
      <pageSetup scale="78" orientation="portrait" r:id="rId1"/>
    </customSheetView>
    <customSheetView guid="{DE6E911D-85BF-467A-AA00-1E84C5349CF7}" scale="80" fitToPage="1" topLeftCell="A3">
      <selection activeCell="C27" sqref="C27"/>
      <pageMargins left="0.7" right="0.7" top="0.75" bottom="0.75" header="0.3" footer="0.3"/>
      <pageSetup scale="78" orientation="portrait" r:id="rId2"/>
    </customSheetView>
    <customSheetView guid="{A6F79E61-D6A3-44FD-B4A4-4724DF74349B}" showPageBreaks="1" fitToPage="1" topLeftCell="A10">
      <selection activeCell="C10" sqref="C10"/>
      <pageMargins left="0.7" right="0.7" top="0.75" bottom="0.75" header="0.3" footer="0.3"/>
      <pageSetup scale="80" orientation="portrait" horizontalDpi="1200" r:id="rId3"/>
    </customSheetView>
    <customSheetView guid="{EC03C3C8-7E57-47C6-8413-F484E8C46A0C}" showPageBreaks="1" fitToPage="1" topLeftCell="A43">
      <selection activeCell="F50" sqref="F50"/>
      <pageMargins left="0.7" right="0.7" top="0.75" bottom="0.75" header="0.3" footer="0.3"/>
      <pageSetup scale="80" orientation="portrait" horizontalDpi="1200" r:id="rId4"/>
    </customSheetView>
    <customSheetView guid="{2B2709E2-6DF4-4CC4-88D0-056FB306137C}" fitToPage="1">
      <selection activeCell="B46" sqref="B46"/>
      <pageMargins left="0.7" right="0.7" top="0.75" bottom="0.75" header="0.3" footer="0.3"/>
      <pageSetup scale="81" orientation="portrait" horizontalDpi="1200" r:id="rId5"/>
    </customSheetView>
  </customSheetViews>
  <pageMargins left="0.7" right="0.7" top="0.75" bottom="0.75" header="0.3" footer="0.3"/>
  <pageSetup scale="78" orientation="portrait" r:id="rId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0" sqref="F10"/>
    </sheetView>
  </sheetViews>
  <sheetFormatPr defaultRowHeight="15" outlineLevelCol="1" x14ac:dyDescent="0.25"/>
  <cols>
    <col min="1" max="1" width="31" customWidth="1"/>
    <col min="2" max="2" width="15" style="43" bestFit="1" customWidth="1" outlineLevel="1"/>
    <col min="3" max="3" width="12.7109375" style="6" customWidth="1" outlineLevel="1"/>
    <col min="4" max="4" width="13.5703125" style="6" bestFit="1" customWidth="1"/>
    <col min="5" max="5" width="13.42578125" style="43" bestFit="1" customWidth="1" outlineLevel="1"/>
    <col min="6" max="6" width="12.7109375" style="6" customWidth="1" outlineLevel="1"/>
    <col min="7" max="7" width="13.5703125" style="6" bestFit="1" customWidth="1"/>
    <col min="8" max="8" width="11.85546875" customWidth="1" outlineLevel="1"/>
    <col min="9" max="9" width="10.85546875" customWidth="1" outlineLevel="1"/>
    <col min="10" max="10" width="13.5703125" customWidth="1"/>
    <col min="11" max="11" width="13.5703125" style="6" bestFit="1" customWidth="1"/>
    <col min="12" max="12" width="11.85546875" style="6" customWidth="1"/>
    <col min="14" max="14" width="14" style="6" customWidth="1"/>
    <col min="15" max="16" width="11.140625" style="6" bestFit="1" customWidth="1"/>
    <col min="17" max="17" width="9.140625" style="6"/>
    <col min="18" max="18" width="13.5703125" style="6" bestFit="1" customWidth="1"/>
    <col min="19" max="19" width="12.7109375" bestFit="1" customWidth="1"/>
  </cols>
  <sheetData>
    <row r="1" spans="1:18" ht="23.25" x14ac:dyDescent="0.35">
      <c r="A1" s="5" t="s">
        <v>287</v>
      </c>
      <c r="H1" s="6"/>
      <c r="I1" s="6"/>
      <c r="J1" s="6"/>
    </row>
    <row r="2" spans="1:18" x14ac:dyDescent="0.25">
      <c r="A2" t="s">
        <v>1</v>
      </c>
      <c r="H2" s="6"/>
      <c r="I2" s="6"/>
      <c r="J2" s="6"/>
    </row>
    <row r="3" spans="1:18" x14ac:dyDescent="0.25">
      <c r="A3" s="1">
        <f>'RSVP Funds'!A3</f>
        <v>43830</v>
      </c>
      <c r="H3" s="6"/>
      <c r="I3" s="6"/>
      <c r="J3" s="6"/>
    </row>
    <row r="4" spans="1:18" x14ac:dyDescent="0.25">
      <c r="A4" s="1"/>
      <c r="H4" s="6"/>
      <c r="I4" s="6"/>
      <c r="J4" s="6"/>
    </row>
    <row r="5" spans="1:18" ht="45" x14ac:dyDescent="0.25">
      <c r="A5" s="1"/>
      <c r="B5" s="44" t="s">
        <v>286</v>
      </c>
      <c r="C5" s="7" t="s">
        <v>47</v>
      </c>
      <c r="D5" s="7" t="s">
        <v>285</v>
      </c>
      <c r="E5" s="44" t="s">
        <v>284</v>
      </c>
      <c r="F5" s="7" t="s">
        <v>47</v>
      </c>
      <c r="G5" s="7" t="s">
        <v>283</v>
      </c>
      <c r="H5" s="7" t="s">
        <v>266</v>
      </c>
      <c r="I5" s="7" t="s">
        <v>47</v>
      </c>
      <c r="J5" s="7" t="s">
        <v>265</v>
      </c>
      <c r="K5" s="18" t="s">
        <v>282</v>
      </c>
      <c r="L5" s="7"/>
      <c r="N5" s="7"/>
      <c r="O5" s="7"/>
      <c r="P5" s="7"/>
      <c r="Q5" s="7"/>
      <c r="R5" s="7"/>
    </row>
    <row r="6" spans="1:18" x14ac:dyDescent="0.25">
      <c r="H6" s="6"/>
      <c r="I6" s="6"/>
      <c r="J6" s="6"/>
      <c r="K6" s="17"/>
    </row>
    <row r="7" spans="1:18" x14ac:dyDescent="0.25">
      <c r="A7" s="3" t="s">
        <v>2</v>
      </c>
      <c r="H7" s="6"/>
      <c r="I7" s="6"/>
      <c r="J7" s="6"/>
      <c r="K7" s="17"/>
    </row>
    <row r="8" spans="1:18" x14ac:dyDescent="0.25">
      <c r="A8" s="4" t="s">
        <v>3</v>
      </c>
      <c r="B8" s="46">
        <v>-145272.99</v>
      </c>
      <c r="C8" s="20"/>
      <c r="D8" s="6">
        <f>(B8+C8)</f>
        <v>-145272.99</v>
      </c>
      <c r="E8" s="46">
        <v>40892.85</v>
      </c>
      <c r="F8" s="20"/>
      <c r="G8" s="49">
        <f t="shared" ref="G8:G13" si="0">E8+F8</f>
        <v>40892.85</v>
      </c>
      <c r="H8" s="20">
        <v>-3351.71</v>
      </c>
      <c r="I8" s="20"/>
      <c r="J8" s="69">
        <f t="shared" ref="J8:J13" si="1">H8+I8</f>
        <v>-3351.71</v>
      </c>
      <c r="K8" s="17">
        <f>D8+G8+J8</f>
        <v>-107731.84999999999</v>
      </c>
    </row>
    <row r="9" spans="1:18" x14ac:dyDescent="0.25">
      <c r="A9" s="4" t="s">
        <v>189</v>
      </c>
      <c r="B9" s="46"/>
      <c r="C9" s="20"/>
      <c r="D9" s="6">
        <f t="shared" ref="D9:D30" si="2">(B9+C9)</f>
        <v>0</v>
      </c>
      <c r="E9" s="46"/>
      <c r="F9" s="20"/>
      <c r="G9" s="6">
        <f t="shared" si="0"/>
        <v>0</v>
      </c>
      <c r="H9" s="20"/>
      <c r="I9" s="20"/>
      <c r="J9" s="6">
        <f t="shared" si="1"/>
        <v>0</v>
      </c>
      <c r="K9" s="17">
        <f t="shared" ref="K9:K58" si="3">D9+G9+J9</f>
        <v>0</v>
      </c>
    </row>
    <row r="10" spans="1:18" x14ac:dyDescent="0.25">
      <c r="A10" s="4" t="s">
        <v>4</v>
      </c>
      <c r="B10" s="50">
        <v>93271.3</v>
      </c>
      <c r="C10" s="20"/>
      <c r="D10" s="6">
        <f t="shared" si="2"/>
        <v>93271.3</v>
      </c>
      <c r="E10" s="50"/>
      <c r="F10" s="20"/>
      <c r="G10" s="6">
        <f t="shared" si="0"/>
        <v>0</v>
      </c>
      <c r="H10" s="20"/>
      <c r="I10" s="20"/>
      <c r="J10" s="6">
        <f t="shared" si="1"/>
        <v>0</v>
      </c>
      <c r="K10" s="17">
        <f t="shared" si="3"/>
        <v>93271.3</v>
      </c>
    </row>
    <row r="11" spans="1:18" x14ac:dyDescent="0.25">
      <c r="A11" s="4" t="s">
        <v>6</v>
      </c>
      <c r="B11" s="46"/>
      <c r="C11" s="20">
        <v>13535.91</v>
      </c>
      <c r="D11" s="6">
        <f t="shared" si="2"/>
        <v>13535.91</v>
      </c>
      <c r="E11" s="46"/>
      <c r="F11" s="20">
        <v>1993.47</v>
      </c>
      <c r="G11" s="6">
        <f t="shared" si="0"/>
        <v>1993.47</v>
      </c>
      <c r="H11" s="20"/>
      <c r="I11" s="20">
        <v>3352.09</v>
      </c>
      <c r="J11" s="6">
        <f t="shared" si="1"/>
        <v>3352.09</v>
      </c>
      <c r="K11" s="17">
        <f t="shared" si="3"/>
        <v>18881.47</v>
      </c>
    </row>
    <row r="12" spans="1:18" x14ac:dyDescent="0.25">
      <c r="A12" s="4" t="s">
        <v>5</v>
      </c>
      <c r="B12" s="46">
        <v>209438.43</v>
      </c>
      <c r="C12" s="20"/>
      <c r="D12" s="6">
        <f t="shared" si="2"/>
        <v>209438.43</v>
      </c>
      <c r="E12" s="46">
        <v>17721.669999999998</v>
      </c>
      <c r="F12" s="20"/>
      <c r="G12" s="6">
        <f t="shared" si="0"/>
        <v>17721.669999999998</v>
      </c>
      <c r="H12" s="20"/>
      <c r="I12" s="20"/>
      <c r="J12" s="6">
        <f t="shared" si="1"/>
        <v>0</v>
      </c>
      <c r="K12" s="17">
        <f t="shared" si="3"/>
        <v>227160.09999999998</v>
      </c>
    </row>
    <row r="13" spans="1:18" x14ac:dyDescent="0.25">
      <c r="A13" s="4" t="s">
        <v>61</v>
      </c>
      <c r="B13" s="46">
        <v>13535.91</v>
      </c>
      <c r="C13" s="20">
        <f>-13535.91</f>
        <v>-13535.91</v>
      </c>
      <c r="D13" s="6">
        <f t="shared" si="2"/>
        <v>0</v>
      </c>
      <c r="E13" s="46">
        <v>1993.47</v>
      </c>
      <c r="F13" s="20">
        <v>-1993.47</v>
      </c>
      <c r="G13" s="6">
        <f t="shared" si="0"/>
        <v>0</v>
      </c>
      <c r="H13" s="20">
        <v>3253.09</v>
      </c>
      <c r="I13" s="20">
        <f>99-3352.09</f>
        <v>-3253.09</v>
      </c>
      <c r="J13" s="6">
        <f t="shared" si="1"/>
        <v>0</v>
      </c>
      <c r="K13" s="17">
        <f t="shared" si="3"/>
        <v>0</v>
      </c>
    </row>
    <row r="14" spans="1:18" x14ac:dyDescent="0.25">
      <c r="A14" s="2" t="s">
        <v>7</v>
      </c>
      <c r="B14" s="43">
        <f t="shared" ref="B14:G14" si="4">SUM(B8:B13)</f>
        <v>170972.65</v>
      </c>
      <c r="C14" s="6">
        <f t="shared" si="4"/>
        <v>0</v>
      </c>
      <c r="D14" s="6">
        <f t="shared" si="2"/>
        <v>170972.65</v>
      </c>
      <c r="E14" s="43">
        <f t="shared" si="4"/>
        <v>60607.99</v>
      </c>
      <c r="F14" s="6">
        <f t="shared" si="4"/>
        <v>0</v>
      </c>
      <c r="G14" s="6">
        <f t="shared" si="4"/>
        <v>60607.99</v>
      </c>
      <c r="H14" s="6">
        <f>SUM(H8:H13)</f>
        <v>-98.619999999999891</v>
      </c>
      <c r="I14" s="6">
        <f>SUM(I8:I13)</f>
        <v>99</v>
      </c>
      <c r="J14" s="6">
        <f>SUM(J8:J13)</f>
        <v>0.38000000000010914</v>
      </c>
      <c r="K14" s="17">
        <f t="shared" si="3"/>
        <v>231581.02</v>
      </c>
    </row>
    <row r="15" spans="1:18" x14ac:dyDescent="0.25">
      <c r="H15" s="6"/>
      <c r="I15" s="6"/>
      <c r="J15" s="6"/>
      <c r="K15" s="17"/>
    </row>
    <row r="16" spans="1:18" x14ac:dyDescent="0.25">
      <c r="A16" s="3" t="s">
        <v>8</v>
      </c>
      <c r="H16" s="6"/>
      <c r="I16" s="6"/>
      <c r="J16" s="6"/>
      <c r="K16" s="17"/>
    </row>
    <row r="17" spans="1:19" x14ac:dyDescent="0.25">
      <c r="A17" s="4" t="s">
        <v>9</v>
      </c>
      <c r="B17" s="46">
        <v>126768.08</v>
      </c>
      <c r="C17" s="20"/>
      <c r="D17" s="6">
        <f t="shared" si="2"/>
        <v>126768.08</v>
      </c>
      <c r="E17" s="46">
        <v>86.34</v>
      </c>
      <c r="F17" s="20"/>
      <c r="G17" s="6">
        <f>E17+F17</f>
        <v>86.34</v>
      </c>
      <c r="H17" s="20"/>
      <c r="I17" s="20"/>
      <c r="J17" s="6">
        <f>H17+I17</f>
        <v>0</v>
      </c>
      <c r="K17" s="17">
        <f t="shared" si="3"/>
        <v>126854.42</v>
      </c>
    </row>
    <row r="18" spans="1:19" s="6" customFormat="1" x14ac:dyDescent="0.25">
      <c r="A18" s="4" t="s">
        <v>10</v>
      </c>
      <c r="B18" s="46">
        <v>38913.269999999997</v>
      </c>
      <c r="C18" s="20"/>
      <c r="D18" s="6">
        <f t="shared" si="2"/>
        <v>38913.269999999997</v>
      </c>
      <c r="E18" s="46">
        <v>7285.18</v>
      </c>
      <c r="F18" s="20"/>
      <c r="G18" s="6">
        <f>E18+F18</f>
        <v>7285.18</v>
      </c>
      <c r="H18" s="20"/>
      <c r="I18" s="20"/>
      <c r="J18" s="6">
        <f>H18+I18</f>
        <v>0</v>
      </c>
      <c r="K18" s="17">
        <f t="shared" si="3"/>
        <v>46198.45</v>
      </c>
      <c r="S18"/>
    </row>
    <row r="19" spans="1:19" s="6" customFormat="1" x14ac:dyDescent="0.25">
      <c r="A19" s="4" t="s">
        <v>190</v>
      </c>
      <c r="B19" s="46"/>
      <c r="C19" s="20"/>
      <c r="D19" s="6">
        <f t="shared" si="2"/>
        <v>0</v>
      </c>
      <c r="E19" s="46"/>
      <c r="F19" s="20"/>
      <c r="G19" s="6">
        <f>E19+F19</f>
        <v>0</v>
      </c>
      <c r="H19" s="20"/>
      <c r="I19" s="20"/>
      <c r="J19" s="6">
        <f>H19+I19</f>
        <v>0</v>
      </c>
      <c r="K19" s="17">
        <f t="shared" si="3"/>
        <v>0</v>
      </c>
      <c r="S19"/>
    </row>
    <row r="20" spans="1:19" s="6" customFormat="1" x14ac:dyDescent="0.25">
      <c r="A20" s="4" t="s">
        <v>11</v>
      </c>
      <c r="B20" s="46"/>
      <c r="C20" s="20"/>
      <c r="D20" s="6">
        <f t="shared" si="2"/>
        <v>0</v>
      </c>
      <c r="E20" s="46"/>
      <c r="F20" s="20"/>
      <c r="G20" s="6">
        <f>E20+F20</f>
        <v>0</v>
      </c>
      <c r="H20" s="20"/>
      <c r="I20" s="20"/>
      <c r="J20" s="6">
        <f>H20+I20</f>
        <v>0</v>
      </c>
      <c r="K20" s="17">
        <f t="shared" si="3"/>
        <v>0</v>
      </c>
      <c r="S20"/>
    </row>
    <row r="21" spans="1:19" s="6" customFormat="1" x14ac:dyDescent="0.25">
      <c r="A21" s="4" t="s">
        <v>12</v>
      </c>
      <c r="B21" s="46">
        <v>5291.7</v>
      </c>
      <c r="C21" s="20"/>
      <c r="D21" s="6">
        <f t="shared" si="2"/>
        <v>5291.7</v>
      </c>
      <c r="E21" s="46">
        <v>53236.91</v>
      </c>
      <c r="F21" s="20"/>
      <c r="G21" s="6">
        <f>E21+F21</f>
        <v>53236.91</v>
      </c>
      <c r="H21" s="20"/>
      <c r="I21" s="20"/>
      <c r="J21" s="6">
        <f>H21+I21</f>
        <v>0</v>
      </c>
      <c r="K21" s="17">
        <f t="shared" si="3"/>
        <v>58528.61</v>
      </c>
      <c r="S21"/>
    </row>
    <row r="22" spans="1:19" s="6" customFormat="1" x14ac:dyDescent="0.25">
      <c r="A22" s="2" t="s">
        <v>13</v>
      </c>
      <c r="B22" s="43">
        <f t="shared" ref="B22:J22" si="5">SUM(B17:B21)</f>
        <v>170973.05000000002</v>
      </c>
      <c r="C22" s="6">
        <f t="shared" si="5"/>
        <v>0</v>
      </c>
      <c r="D22" s="6">
        <f t="shared" si="2"/>
        <v>170973.05000000002</v>
      </c>
      <c r="E22" s="43">
        <f t="shared" si="5"/>
        <v>60608.430000000008</v>
      </c>
      <c r="F22" s="6">
        <f t="shared" si="5"/>
        <v>0</v>
      </c>
      <c r="G22" s="6">
        <f t="shared" si="5"/>
        <v>60608.430000000008</v>
      </c>
      <c r="H22" s="6">
        <f t="shared" si="5"/>
        <v>0</v>
      </c>
      <c r="I22" s="6">
        <f t="shared" si="5"/>
        <v>0</v>
      </c>
      <c r="J22" s="6">
        <f t="shared" si="5"/>
        <v>0</v>
      </c>
      <c r="K22" s="17">
        <f t="shared" si="3"/>
        <v>231581.48000000004</v>
      </c>
      <c r="S22"/>
    </row>
    <row r="23" spans="1:19" s="6" customFormat="1" x14ac:dyDescent="0.25">
      <c r="A23"/>
      <c r="B23" s="43"/>
      <c r="E23" s="43"/>
      <c r="K23" s="17"/>
      <c r="S23"/>
    </row>
    <row r="24" spans="1:19" s="6" customFormat="1" x14ac:dyDescent="0.25">
      <c r="A24" s="3" t="s">
        <v>14</v>
      </c>
      <c r="B24" s="43"/>
      <c r="E24" s="43"/>
      <c r="K24" s="17"/>
      <c r="S24"/>
    </row>
    <row r="25" spans="1:19" s="6" customFormat="1" x14ac:dyDescent="0.25">
      <c r="A25" s="4" t="s">
        <v>15</v>
      </c>
      <c r="B25" s="46"/>
      <c r="C25" s="20"/>
      <c r="D25" s="6">
        <f t="shared" si="2"/>
        <v>0</v>
      </c>
      <c r="E25" s="46"/>
      <c r="F25" s="20"/>
      <c r="G25" s="6">
        <f>E25+F25</f>
        <v>0</v>
      </c>
      <c r="H25" s="20"/>
      <c r="I25" s="20"/>
      <c r="J25" s="6">
        <f>H25+I25</f>
        <v>0</v>
      </c>
      <c r="K25" s="17">
        <f t="shared" si="3"/>
        <v>0</v>
      </c>
      <c r="S25"/>
    </row>
    <row r="26" spans="1:19" s="6" customFormat="1" x14ac:dyDescent="0.25">
      <c r="A26" s="4" t="s">
        <v>16</v>
      </c>
      <c r="B26" s="192"/>
      <c r="C26" s="20"/>
      <c r="D26" s="6">
        <f t="shared" si="2"/>
        <v>0</v>
      </c>
      <c r="E26" s="46"/>
      <c r="F26" s="20"/>
      <c r="G26" s="6">
        <f>E26+F26</f>
        <v>0</v>
      </c>
      <c r="H26" s="20"/>
      <c r="I26" s="20"/>
      <c r="J26" s="6">
        <f>H26+I26</f>
        <v>0</v>
      </c>
      <c r="K26" s="17">
        <f t="shared" si="3"/>
        <v>0</v>
      </c>
      <c r="S26"/>
    </row>
    <row r="27" spans="1:19" s="6" customFormat="1" x14ac:dyDescent="0.25">
      <c r="A27" s="4" t="s">
        <v>17</v>
      </c>
      <c r="B27" s="46">
        <v>-0.4</v>
      </c>
      <c r="C27" s="20"/>
      <c r="D27" s="6">
        <f t="shared" si="2"/>
        <v>-0.4</v>
      </c>
      <c r="E27" s="46">
        <v>-0.44</v>
      </c>
      <c r="F27" s="20"/>
      <c r="G27" s="6">
        <f>E27+F27</f>
        <v>-0.44</v>
      </c>
      <c r="H27" s="20">
        <v>-98.62</v>
      </c>
      <c r="I27" s="20">
        <v>99</v>
      </c>
      <c r="J27" s="6">
        <f>H27+I27</f>
        <v>0.37999999999999545</v>
      </c>
      <c r="K27" s="17">
        <f t="shared" si="3"/>
        <v>-0.46000000000000463</v>
      </c>
      <c r="S27"/>
    </row>
    <row r="28" spans="1:19" s="6" customFormat="1" x14ac:dyDescent="0.25">
      <c r="A28" s="2" t="s">
        <v>18</v>
      </c>
      <c r="B28" s="43">
        <f t="shared" ref="B28:G28" si="6">SUM(B25:B27)</f>
        <v>-0.4</v>
      </c>
      <c r="C28" s="6">
        <f t="shared" si="6"/>
        <v>0</v>
      </c>
      <c r="D28" s="6">
        <f t="shared" si="2"/>
        <v>-0.4</v>
      </c>
      <c r="E28" s="43">
        <f t="shared" si="6"/>
        <v>-0.44</v>
      </c>
      <c r="F28" s="6">
        <f t="shared" si="6"/>
        <v>0</v>
      </c>
      <c r="G28" s="6">
        <f t="shared" si="6"/>
        <v>-0.44</v>
      </c>
      <c r="H28" s="6">
        <f>SUM(H25:H27)</f>
        <v>-98.62</v>
      </c>
      <c r="I28" s="6">
        <f>SUM(I25:I27)</f>
        <v>99</v>
      </c>
      <c r="J28" s="6">
        <f>SUM(J25:J27)</f>
        <v>0.37999999999999545</v>
      </c>
      <c r="K28" s="17">
        <f t="shared" si="3"/>
        <v>-0.46000000000000463</v>
      </c>
      <c r="S28"/>
    </row>
    <row r="29" spans="1:19" s="6" customFormat="1" x14ac:dyDescent="0.25">
      <c r="A29"/>
      <c r="B29" s="43"/>
      <c r="E29" s="43"/>
      <c r="K29" s="17"/>
      <c r="S29"/>
    </row>
    <row r="30" spans="1:19" s="6" customFormat="1" x14ac:dyDescent="0.25">
      <c r="A30" s="2" t="s">
        <v>19</v>
      </c>
      <c r="B30" s="43">
        <f t="shared" ref="B30:J30" si="7">B22+B28</f>
        <v>170972.65000000002</v>
      </c>
      <c r="C30" s="6">
        <f t="shared" si="7"/>
        <v>0</v>
      </c>
      <c r="D30" s="6">
        <f t="shared" si="2"/>
        <v>170972.65000000002</v>
      </c>
      <c r="E30" s="43">
        <f t="shared" si="7"/>
        <v>60607.990000000005</v>
      </c>
      <c r="F30" s="6">
        <f t="shared" si="7"/>
        <v>0</v>
      </c>
      <c r="G30" s="6">
        <f t="shared" si="7"/>
        <v>60607.990000000005</v>
      </c>
      <c r="H30" s="6">
        <f t="shared" si="7"/>
        <v>-98.62</v>
      </c>
      <c r="I30" s="6">
        <f t="shared" si="7"/>
        <v>99</v>
      </c>
      <c r="J30" s="6">
        <f t="shared" si="7"/>
        <v>0.37999999999999545</v>
      </c>
      <c r="K30" s="17">
        <f t="shared" si="3"/>
        <v>231581.02000000002</v>
      </c>
      <c r="S30"/>
    </row>
    <row r="31" spans="1:19" s="6" customFormat="1" x14ac:dyDescent="0.25">
      <c r="A31"/>
      <c r="B31" s="52" t="str">
        <f>IF(B14=B30,"YES","NO")</f>
        <v>YES</v>
      </c>
      <c r="C31" s="52" t="str">
        <f t="shared" ref="C31:K31" si="8">IF(C14=C30,"YES","NO")</f>
        <v>YES</v>
      </c>
      <c r="D31" s="52" t="str">
        <f>IF(D14=D30,"YES","NO")</f>
        <v>YES</v>
      </c>
      <c r="E31" s="52" t="str">
        <f t="shared" si="8"/>
        <v>YES</v>
      </c>
      <c r="F31" s="52" t="str">
        <f t="shared" si="8"/>
        <v>YES</v>
      </c>
      <c r="G31" s="52" t="str">
        <f t="shared" si="8"/>
        <v>YES</v>
      </c>
      <c r="H31" s="49" t="str">
        <f>IF(H14=H30,"YES","NO")</f>
        <v>NO</v>
      </c>
      <c r="I31" s="49" t="str">
        <f t="shared" si="8"/>
        <v>YES</v>
      </c>
      <c r="J31" s="49" t="str">
        <f t="shared" si="8"/>
        <v>NO</v>
      </c>
      <c r="K31" s="49" t="str">
        <f t="shared" si="8"/>
        <v>YES</v>
      </c>
      <c r="S31"/>
    </row>
    <row r="32" spans="1:19" s="6" customFormat="1" x14ac:dyDescent="0.25">
      <c r="A32" s="3" t="s">
        <v>20</v>
      </c>
      <c r="B32" s="43"/>
      <c r="E32" s="43">
        <f>E14-E30</f>
        <v>0</v>
      </c>
      <c r="K32" s="17">
        <f t="shared" si="3"/>
        <v>0</v>
      </c>
      <c r="S32"/>
    </row>
    <row r="33" spans="1:19" s="6" customFormat="1" x14ac:dyDescent="0.25">
      <c r="A33" s="4" t="s">
        <v>21</v>
      </c>
      <c r="B33" s="46">
        <v>2995675.16</v>
      </c>
      <c r="C33" s="20"/>
      <c r="D33" s="6">
        <f>B33+C33</f>
        <v>2995675.16</v>
      </c>
      <c r="E33" s="46">
        <f>-13532.91+201677.17</f>
        <v>188144.26</v>
      </c>
      <c r="F33" s="20"/>
      <c r="G33" s="6">
        <f>E33+F33</f>
        <v>188144.26</v>
      </c>
      <c r="H33" s="20"/>
      <c r="I33" s="20"/>
      <c r="J33" s="6">
        <f>H33+I33</f>
        <v>0</v>
      </c>
      <c r="K33" s="17">
        <f t="shared" si="3"/>
        <v>3183819.42</v>
      </c>
      <c r="S33"/>
    </row>
    <row r="34" spans="1:19" s="6" customFormat="1" x14ac:dyDescent="0.25">
      <c r="A34" s="4" t="s">
        <v>22</v>
      </c>
      <c r="B34" s="46"/>
      <c r="C34" s="20"/>
      <c r="D34" s="6">
        <f>B34+C34</f>
        <v>0</v>
      </c>
      <c r="E34" s="46"/>
      <c r="F34" s="20"/>
      <c r="G34" s="6">
        <f>E34+F34</f>
        <v>0</v>
      </c>
      <c r="H34" s="20"/>
      <c r="I34" s="20"/>
      <c r="J34" s="6">
        <f>H34+I34</f>
        <v>0</v>
      </c>
      <c r="K34" s="17">
        <f t="shared" si="3"/>
        <v>0</v>
      </c>
      <c r="S34"/>
    </row>
    <row r="35" spans="1:19" s="6" customFormat="1" x14ac:dyDescent="0.25">
      <c r="A35" s="4" t="s">
        <v>201</v>
      </c>
      <c r="B35" s="46"/>
      <c r="C35" s="20"/>
      <c r="D35" s="6">
        <f>B35+C35</f>
        <v>0</v>
      </c>
      <c r="E35" s="46"/>
      <c r="F35" s="20"/>
      <c r="G35" s="6">
        <f>E35+F35</f>
        <v>0</v>
      </c>
      <c r="H35" s="20"/>
      <c r="I35" s="20"/>
      <c r="J35" s="6">
        <f>H35+I35</f>
        <v>0</v>
      </c>
      <c r="K35" s="17">
        <f t="shared" si="3"/>
        <v>0</v>
      </c>
      <c r="S35"/>
    </row>
    <row r="36" spans="1:19" s="6" customFormat="1" x14ac:dyDescent="0.25">
      <c r="A36" s="4" t="s">
        <v>23</v>
      </c>
      <c r="B36" s="46">
        <v>38.409999999999997</v>
      </c>
      <c r="C36" s="20"/>
      <c r="D36" s="6">
        <f>B36+C36</f>
        <v>38.409999999999997</v>
      </c>
      <c r="E36" s="46">
        <v>4.57</v>
      </c>
      <c r="F36" s="20"/>
      <c r="G36" s="6">
        <f>E36+F36</f>
        <v>4.57</v>
      </c>
      <c r="H36" s="20"/>
      <c r="I36" s="20"/>
      <c r="J36" s="6">
        <f>H36+I36</f>
        <v>0</v>
      </c>
      <c r="K36" s="17">
        <f t="shared" si="3"/>
        <v>42.98</v>
      </c>
      <c r="S36"/>
    </row>
    <row r="37" spans="1:19" s="6" customFormat="1" x14ac:dyDescent="0.25">
      <c r="A37" s="4" t="s">
        <v>24</v>
      </c>
      <c r="B37" s="46">
        <v>53601.34</v>
      </c>
      <c r="C37" s="20"/>
      <c r="D37" s="6">
        <f>B37+C37</f>
        <v>53601.34</v>
      </c>
      <c r="E37" s="46"/>
      <c r="F37" s="20"/>
      <c r="G37" s="6">
        <f>E37+F37</f>
        <v>0</v>
      </c>
      <c r="H37" s="20"/>
      <c r="I37" s="20"/>
      <c r="J37" s="6">
        <f>H37+I37</f>
        <v>0</v>
      </c>
      <c r="K37" s="17">
        <f t="shared" si="3"/>
        <v>53601.34</v>
      </c>
      <c r="S37"/>
    </row>
    <row r="38" spans="1:19" s="6" customFormat="1" x14ac:dyDescent="0.25">
      <c r="A38" s="2" t="s">
        <v>25</v>
      </c>
      <c r="B38" s="43">
        <f t="shared" ref="B38:G38" si="9">SUM(B33:B37)</f>
        <v>3049314.91</v>
      </c>
      <c r="C38" s="6">
        <f t="shared" si="9"/>
        <v>0</v>
      </c>
      <c r="D38" s="6">
        <f t="shared" si="9"/>
        <v>3049314.91</v>
      </c>
      <c r="E38" s="43">
        <f t="shared" si="9"/>
        <v>188148.83000000002</v>
      </c>
      <c r="F38" s="6">
        <f t="shared" si="9"/>
        <v>0</v>
      </c>
      <c r="G38" s="6">
        <f t="shared" si="9"/>
        <v>188148.83000000002</v>
      </c>
      <c r="H38" s="6">
        <f>SUM(H33:H37)</f>
        <v>0</v>
      </c>
      <c r="I38" s="6">
        <f>SUM(I33:I37)</f>
        <v>0</v>
      </c>
      <c r="J38" s="6">
        <f>SUM(J33:J37)</f>
        <v>0</v>
      </c>
      <c r="K38" s="17">
        <f t="shared" si="3"/>
        <v>3237463.74</v>
      </c>
      <c r="S38"/>
    </row>
    <row r="39" spans="1:19" s="6" customFormat="1" x14ac:dyDescent="0.25">
      <c r="A39"/>
      <c r="B39" s="43"/>
      <c r="E39" s="43"/>
      <c r="K39" s="17"/>
      <c r="S39"/>
    </row>
    <row r="40" spans="1:19" s="6" customFormat="1" x14ac:dyDescent="0.25">
      <c r="A40" s="3" t="s">
        <v>26</v>
      </c>
      <c r="B40" s="43"/>
      <c r="E40" s="43"/>
      <c r="K40" s="17"/>
      <c r="S40"/>
    </row>
    <row r="41" spans="1:19" s="6" customFormat="1" x14ac:dyDescent="0.25">
      <c r="A41" s="4" t="s">
        <v>27</v>
      </c>
      <c r="B41" s="74"/>
      <c r="C41" s="20"/>
      <c r="D41" s="6">
        <f t="shared" ref="D41:D46" si="10">B41+C41</f>
        <v>0</v>
      </c>
      <c r="E41" s="74"/>
      <c r="F41" s="20"/>
      <c r="G41" s="6">
        <f t="shared" ref="G41:G46" si="11">E41+F41</f>
        <v>0</v>
      </c>
      <c r="H41" s="20"/>
      <c r="I41" s="20"/>
      <c r="K41" s="17">
        <f t="shared" si="3"/>
        <v>0</v>
      </c>
      <c r="S41"/>
    </row>
    <row r="42" spans="1:19" s="6" customFormat="1" x14ac:dyDescent="0.25">
      <c r="A42" s="4" t="s">
        <v>28</v>
      </c>
      <c r="B42" s="74"/>
      <c r="C42" s="20"/>
      <c r="D42" s="6">
        <f t="shared" si="10"/>
        <v>0</v>
      </c>
      <c r="E42" s="74"/>
      <c r="F42" s="20"/>
      <c r="G42" s="6">
        <f t="shared" si="11"/>
        <v>0</v>
      </c>
      <c r="H42" s="20"/>
      <c r="I42" s="20"/>
      <c r="J42" s="6">
        <f>H42+I42</f>
        <v>0</v>
      </c>
      <c r="K42" s="17">
        <f t="shared" si="3"/>
        <v>0</v>
      </c>
      <c r="S42"/>
    </row>
    <row r="43" spans="1:19" s="6" customFormat="1" x14ac:dyDescent="0.25">
      <c r="A43" s="4" t="s">
        <v>29</v>
      </c>
      <c r="B43" s="74"/>
      <c r="C43" s="20"/>
      <c r="D43" s="6">
        <f t="shared" si="10"/>
        <v>0</v>
      </c>
      <c r="E43" s="74"/>
      <c r="F43" s="20"/>
      <c r="G43" s="6">
        <f t="shared" si="11"/>
        <v>0</v>
      </c>
      <c r="H43" s="20"/>
      <c r="I43" s="20"/>
      <c r="J43" s="6">
        <f>H43+I43</f>
        <v>0</v>
      </c>
      <c r="K43" s="17">
        <f t="shared" si="3"/>
        <v>0</v>
      </c>
      <c r="S43"/>
    </row>
    <row r="44" spans="1:19" s="6" customFormat="1" x14ac:dyDescent="0.25">
      <c r="A44" s="4" t="s">
        <v>30</v>
      </c>
      <c r="B44" s="74"/>
      <c r="C44" s="20"/>
      <c r="D44" s="6">
        <f t="shared" si="10"/>
        <v>0</v>
      </c>
      <c r="E44" s="74"/>
      <c r="F44" s="20"/>
      <c r="G44" s="6">
        <f t="shared" si="11"/>
        <v>0</v>
      </c>
      <c r="H44" s="20"/>
      <c r="I44" s="20"/>
      <c r="J44" s="6">
        <f>H44+I44</f>
        <v>0</v>
      </c>
      <c r="K44" s="17">
        <f t="shared" si="3"/>
        <v>0</v>
      </c>
      <c r="S44"/>
    </row>
    <row r="45" spans="1:19" s="6" customFormat="1" x14ac:dyDescent="0.25">
      <c r="A45" s="4" t="s">
        <v>31</v>
      </c>
      <c r="B45" s="46">
        <v>2937968.78</v>
      </c>
      <c r="C45" s="20"/>
      <c r="D45" s="6">
        <f t="shared" si="10"/>
        <v>2937968.78</v>
      </c>
      <c r="E45" s="46">
        <v>177584.8</v>
      </c>
      <c r="F45" s="20"/>
      <c r="G45" s="6">
        <f t="shared" si="11"/>
        <v>177584.8</v>
      </c>
      <c r="H45" s="20">
        <v>98.62</v>
      </c>
      <c r="I45" s="20">
        <v>-99</v>
      </c>
      <c r="J45" s="6">
        <f>H45+I45</f>
        <v>-0.37999999999999545</v>
      </c>
      <c r="K45" s="17">
        <f t="shared" si="3"/>
        <v>3115553.1999999997</v>
      </c>
      <c r="S45"/>
    </row>
    <row r="46" spans="1:19" s="6" customFormat="1" x14ac:dyDescent="0.25">
      <c r="A46" s="4" t="s">
        <v>62</v>
      </c>
      <c r="B46" s="74"/>
      <c r="C46" s="20"/>
      <c r="D46" s="6">
        <f t="shared" si="10"/>
        <v>0</v>
      </c>
      <c r="E46" s="74"/>
      <c r="F46" s="20"/>
      <c r="G46" s="6">
        <f t="shared" si="11"/>
        <v>0</v>
      </c>
      <c r="H46" s="20"/>
      <c r="I46" s="20"/>
      <c r="J46" s="6">
        <f>H46+I46</f>
        <v>0</v>
      </c>
      <c r="K46" s="17">
        <f t="shared" si="3"/>
        <v>0</v>
      </c>
      <c r="S46"/>
    </row>
    <row r="47" spans="1:19" s="6" customFormat="1" x14ac:dyDescent="0.25">
      <c r="A47" s="2" t="s">
        <v>32</v>
      </c>
      <c r="B47" s="43">
        <f t="shared" ref="B47:G47" si="12">SUM(B41:B46)</f>
        <v>2937968.78</v>
      </c>
      <c r="C47" s="6">
        <f t="shared" si="12"/>
        <v>0</v>
      </c>
      <c r="D47" s="6">
        <f t="shared" si="12"/>
        <v>2937968.78</v>
      </c>
      <c r="E47" s="43">
        <f t="shared" si="12"/>
        <v>177584.8</v>
      </c>
      <c r="F47" s="6">
        <f t="shared" si="12"/>
        <v>0</v>
      </c>
      <c r="G47" s="6">
        <f t="shared" si="12"/>
        <v>177584.8</v>
      </c>
      <c r="H47" s="6">
        <f>SUM(H41:H46)</f>
        <v>98.62</v>
      </c>
      <c r="I47" s="6">
        <f>SUM(I41:I46)</f>
        <v>-99</v>
      </c>
      <c r="J47" s="6">
        <f>SUM(J41:J46)</f>
        <v>-0.37999999999999545</v>
      </c>
      <c r="K47" s="17">
        <f t="shared" si="3"/>
        <v>3115553.1999999997</v>
      </c>
      <c r="S47"/>
    </row>
    <row r="48" spans="1:19" s="6" customFormat="1" x14ac:dyDescent="0.25">
      <c r="A48"/>
      <c r="B48" s="43"/>
      <c r="E48" s="43"/>
      <c r="K48" s="17"/>
      <c r="S48"/>
    </row>
    <row r="49" spans="1:19" s="6" customFormat="1" x14ac:dyDescent="0.25">
      <c r="A49" s="2" t="s">
        <v>33</v>
      </c>
      <c r="B49" s="43">
        <f t="shared" ref="B49:J49" si="13">B38-B47</f>
        <v>111346.13000000035</v>
      </c>
      <c r="C49" s="6">
        <f t="shared" si="13"/>
        <v>0</v>
      </c>
      <c r="D49" s="6">
        <f t="shared" si="13"/>
        <v>111346.13000000035</v>
      </c>
      <c r="E49" s="43">
        <f t="shared" si="13"/>
        <v>10564.030000000028</v>
      </c>
      <c r="F49" s="6">
        <f t="shared" si="13"/>
        <v>0</v>
      </c>
      <c r="G49" s="6">
        <f t="shared" si="13"/>
        <v>10564.030000000028</v>
      </c>
      <c r="H49" s="6">
        <f t="shared" si="13"/>
        <v>-98.62</v>
      </c>
      <c r="I49" s="6">
        <f t="shared" si="13"/>
        <v>99</v>
      </c>
      <c r="J49" s="6">
        <f t="shared" si="13"/>
        <v>0.37999999999999545</v>
      </c>
      <c r="K49" s="17">
        <f t="shared" si="3"/>
        <v>121910.54000000039</v>
      </c>
      <c r="S49"/>
    </row>
    <row r="50" spans="1:19" s="6" customFormat="1" x14ac:dyDescent="0.25">
      <c r="A50" s="2"/>
      <c r="B50" s="43"/>
      <c r="E50" s="43"/>
      <c r="K50" s="17"/>
      <c r="S50"/>
    </row>
    <row r="51" spans="1:19" s="6" customFormat="1" x14ac:dyDescent="0.25">
      <c r="A51" s="34" t="s">
        <v>300</v>
      </c>
      <c r="B51" s="46">
        <v>6840</v>
      </c>
      <c r="C51" s="20"/>
      <c r="D51" s="6">
        <f>B51+C51</f>
        <v>6840</v>
      </c>
      <c r="E51" s="46"/>
      <c r="F51" s="20"/>
      <c r="G51" s="6">
        <f>E51+F51</f>
        <v>0</v>
      </c>
      <c r="H51" s="20"/>
      <c r="I51" s="20"/>
      <c r="J51" s="6">
        <f>H51+I51</f>
        <v>0</v>
      </c>
      <c r="K51" s="17">
        <f t="shared" si="3"/>
        <v>6840</v>
      </c>
      <c r="S51"/>
    </row>
    <row r="52" spans="1:19" s="6" customFormat="1" x14ac:dyDescent="0.25">
      <c r="A52" t="s">
        <v>34</v>
      </c>
      <c r="B52" s="46">
        <v>586.9</v>
      </c>
      <c r="C52" s="20"/>
      <c r="D52" s="6">
        <f>B52+C52</f>
        <v>586.9</v>
      </c>
      <c r="E52" s="46"/>
      <c r="F52" s="20"/>
      <c r="G52" s="6">
        <f>E52+F52</f>
        <v>0</v>
      </c>
      <c r="H52" s="20"/>
      <c r="I52" s="20"/>
      <c r="J52" s="6">
        <f>H52+I52</f>
        <v>0</v>
      </c>
      <c r="K52" s="17">
        <f t="shared" si="3"/>
        <v>586.9</v>
      </c>
      <c r="S52"/>
    </row>
    <row r="53" spans="1:19" s="6" customFormat="1" x14ac:dyDescent="0.25">
      <c r="A53" t="s">
        <v>35</v>
      </c>
      <c r="B53" s="46">
        <v>118772.99</v>
      </c>
      <c r="C53" s="20"/>
      <c r="D53" s="6">
        <f>B53+C53</f>
        <v>118772.99</v>
      </c>
      <c r="E53" s="46">
        <v>10564.03</v>
      </c>
      <c r="F53" s="20"/>
      <c r="G53" s="6">
        <f>E53+F53</f>
        <v>10564.03</v>
      </c>
      <c r="H53" s="20"/>
      <c r="I53" s="20"/>
      <c r="J53" s="6">
        <f>H53+I53</f>
        <v>0</v>
      </c>
      <c r="K53" s="17">
        <f t="shared" si="3"/>
        <v>129337.02</v>
      </c>
      <c r="S53"/>
    </row>
    <row r="54" spans="1:19" s="6" customFormat="1" x14ac:dyDescent="0.25">
      <c r="A54" s="2" t="s">
        <v>36</v>
      </c>
      <c r="B54" s="43">
        <f>B51+B52-B53</f>
        <v>-111346.09000000001</v>
      </c>
      <c r="C54" s="6">
        <f>C51+C52-C53</f>
        <v>0</v>
      </c>
      <c r="D54" s="6">
        <f>D51+D52-D53</f>
        <v>-111346.09000000001</v>
      </c>
      <c r="E54" s="43">
        <f>E51+E52-E53</f>
        <v>-10564.03</v>
      </c>
      <c r="F54" s="6">
        <f>F51+F52-F53</f>
        <v>0</v>
      </c>
      <c r="G54" s="6">
        <f>G52-G53</f>
        <v>-10564.03</v>
      </c>
      <c r="H54" s="6">
        <f>H51+H52-H53</f>
        <v>0</v>
      </c>
      <c r="I54" s="6">
        <f>I51+I52-I53</f>
        <v>0</v>
      </c>
      <c r="J54" s="6">
        <f>H54+I54</f>
        <v>0</v>
      </c>
      <c r="K54" s="17">
        <f t="shared" si="3"/>
        <v>-121910.12000000001</v>
      </c>
      <c r="S54"/>
    </row>
    <row r="55" spans="1:19" s="6" customFormat="1" x14ac:dyDescent="0.25">
      <c r="A55"/>
      <c r="B55" s="43"/>
      <c r="C55"/>
      <c r="E55" s="43"/>
      <c r="F55"/>
      <c r="K55" s="17"/>
      <c r="S55"/>
    </row>
    <row r="56" spans="1:19" s="6" customFormat="1" x14ac:dyDescent="0.25">
      <c r="A56" s="2" t="s">
        <v>37</v>
      </c>
      <c r="B56" s="43">
        <f t="shared" ref="B56:J56" si="14">B49+B54</f>
        <v>4.0000000342843123E-2</v>
      </c>
      <c r="C56" s="6">
        <f t="shared" si="14"/>
        <v>0</v>
      </c>
      <c r="D56" s="6">
        <f t="shared" si="14"/>
        <v>4.0000000342843123E-2</v>
      </c>
      <c r="E56" s="43">
        <f t="shared" si="14"/>
        <v>2.7284841053187847E-11</v>
      </c>
      <c r="F56" s="6">
        <f t="shared" si="14"/>
        <v>0</v>
      </c>
      <c r="G56" s="6">
        <f t="shared" si="14"/>
        <v>2.7284841053187847E-11</v>
      </c>
      <c r="H56" s="6">
        <f t="shared" si="14"/>
        <v>-98.62</v>
      </c>
      <c r="I56" s="6">
        <f t="shared" si="14"/>
        <v>99</v>
      </c>
      <c r="J56" s="6">
        <f t="shared" si="14"/>
        <v>0.37999999999999545</v>
      </c>
      <c r="K56" s="17">
        <f t="shared" si="3"/>
        <v>0.42000000037012342</v>
      </c>
      <c r="S56"/>
    </row>
    <row r="57" spans="1:19" s="6" customFormat="1" x14ac:dyDescent="0.25">
      <c r="A57" t="s">
        <v>38</v>
      </c>
      <c r="B57" s="43">
        <f t="shared" ref="B57:J57" si="15">B58-B56</f>
        <v>-0.44000000034284314</v>
      </c>
      <c r="C57" s="6">
        <f t="shared" si="15"/>
        <v>0</v>
      </c>
      <c r="D57" s="6">
        <f t="shared" si="15"/>
        <v>-0.44000000034284314</v>
      </c>
      <c r="E57" s="43">
        <f t="shared" si="15"/>
        <v>-0.44000000002728484</v>
      </c>
      <c r="F57" s="6">
        <f t="shared" si="15"/>
        <v>0</v>
      </c>
      <c r="G57" s="6">
        <f t="shared" si="15"/>
        <v>-0.44000000002728484</v>
      </c>
      <c r="H57" s="6">
        <f t="shared" si="15"/>
        <v>0</v>
      </c>
      <c r="I57" s="6">
        <f t="shared" si="15"/>
        <v>0</v>
      </c>
      <c r="J57" s="6">
        <f t="shared" si="15"/>
        <v>0</v>
      </c>
      <c r="K57" s="17">
        <f t="shared" si="3"/>
        <v>-0.88000000037012804</v>
      </c>
      <c r="S57"/>
    </row>
    <row r="58" spans="1:19" s="6" customFormat="1" x14ac:dyDescent="0.25">
      <c r="A58" s="2" t="s">
        <v>39</v>
      </c>
      <c r="B58" s="43">
        <f t="shared" ref="B58:J58" si="16">B28</f>
        <v>-0.4</v>
      </c>
      <c r="C58" s="6">
        <f t="shared" si="16"/>
        <v>0</v>
      </c>
      <c r="D58" s="6">
        <f t="shared" si="16"/>
        <v>-0.4</v>
      </c>
      <c r="E58" s="43">
        <f t="shared" si="16"/>
        <v>-0.44</v>
      </c>
      <c r="F58" s="6">
        <f t="shared" si="16"/>
        <v>0</v>
      </c>
      <c r="G58" s="6">
        <f t="shared" si="16"/>
        <v>-0.44</v>
      </c>
      <c r="H58" s="6">
        <f t="shared" si="16"/>
        <v>-98.62</v>
      </c>
      <c r="I58" s="6">
        <f t="shared" si="16"/>
        <v>99</v>
      </c>
      <c r="J58" s="6">
        <f t="shared" si="16"/>
        <v>0.37999999999999545</v>
      </c>
      <c r="K58" s="17">
        <f t="shared" si="3"/>
        <v>-0.46000000000000463</v>
      </c>
      <c r="S58"/>
    </row>
  </sheetData>
  <sheetProtection sheet="1" objects="1" scenarios="1"/>
  <customSheetViews>
    <customSheetView guid="{E68B3865-8D72-47E7-BE32-0FF7EB09E889}" scale="80" fitToPage="1">
      <pane xSplit="1" ySplit="7" topLeftCell="B8" activePane="bottomRight" state="frozen"/>
      <selection pane="bottomRight" activeCell="F10" sqref="F10"/>
      <pageMargins left="0.7" right="0.7" top="0.75" bottom="0.75" header="0.3" footer="0.3"/>
      <pageSetup scale="55" orientation="portrait" horizontalDpi="1200" r:id="rId1"/>
    </customSheetView>
    <customSheetView guid="{DE6E911D-85BF-467A-AA00-1E84C5349CF7}" scale="80" fitToPage="1">
      <pane xSplit="1" ySplit="7" topLeftCell="B8" activePane="bottomRight" state="frozen"/>
      <selection pane="bottomRight" activeCell="F10" sqref="F10"/>
      <pageMargins left="0.7" right="0.7" top="0.75" bottom="0.75" header="0.3" footer="0.3"/>
      <pageSetup scale="55" orientation="portrait" horizontalDpi="1200" r:id="rId2"/>
    </customSheetView>
    <customSheetView guid="{A6F79E61-D6A3-44FD-B4A4-4724DF74349B}" showPageBreaks="1" fitToPage="1" topLeftCell="A25">
      <selection activeCell="K54" sqref="K54"/>
      <pageMargins left="0.7" right="0.7" top="0.75" bottom="0.75" header="0.3" footer="0.3"/>
      <pageSetup scale="55" orientation="portrait" horizontalDpi="1200" r:id="rId3"/>
    </customSheetView>
    <customSheetView guid="{EC03C3C8-7E57-47C6-8413-F484E8C46A0C}" showPageBreaks="1" fitToPage="1" topLeftCell="A32">
      <selection activeCell="E52" sqref="E52"/>
      <pageMargins left="0.7" right="0.7" top="0.75" bottom="0.75" header="0.3" footer="0.3"/>
      <pageSetup scale="73" orientation="portrait" horizontalDpi="1200" r:id="rId4"/>
    </customSheetView>
    <customSheetView guid="{2B2709E2-6DF4-4CC4-88D0-056FB306137C}" fitToPage="1">
      <pane xSplit="1" ySplit="7" topLeftCell="B14" activePane="bottomRight" state="frozen"/>
      <selection pane="bottomRight" activeCell="O43" sqref="O43"/>
      <pageMargins left="0.7" right="0.7" top="0.75" bottom="0.75" header="0.3" footer="0.3"/>
      <pageSetup scale="60" orientation="portrait" horizontalDpi="1200" r:id="rId5"/>
    </customSheetView>
  </customSheetViews>
  <pageMargins left="0.7" right="0.7" top="0.75" bottom="0.75" header="0.3" footer="0.3"/>
  <pageSetup scale="55" orientation="portrait" horizontalDpi="1200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zoomScale="80" zoomScaleNormal="80" workbookViewId="0">
      <pane xSplit="1" ySplit="5" topLeftCell="B23" activePane="bottomRight" state="frozen"/>
      <selection pane="topRight" activeCell="B1" sqref="B1"/>
      <selection pane="bottomLeft" activeCell="A6" sqref="A6"/>
      <selection pane="bottomRight" activeCell="N27" sqref="N27"/>
    </sheetView>
  </sheetViews>
  <sheetFormatPr defaultRowHeight="15" outlineLevelCol="1" x14ac:dyDescent="0.25"/>
  <cols>
    <col min="1" max="1" width="31" customWidth="1"/>
    <col min="2" max="2" width="14.7109375" style="6" customWidth="1" outlineLevel="1"/>
    <col min="3" max="3" width="12.7109375" style="6" customWidth="1" outlineLevel="1"/>
    <col min="4" max="4" width="14.7109375" style="6" customWidth="1"/>
    <col min="5" max="5" width="12" style="6" bestFit="1" customWidth="1" outlineLevel="1"/>
    <col min="6" max="6" width="12.7109375" style="6" customWidth="1" outlineLevel="1"/>
    <col min="7" max="7" width="13.7109375" style="6" bestFit="1" customWidth="1"/>
    <col min="8" max="8" width="13.7109375" style="43" bestFit="1" customWidth="1" outlineLevel="1"/>
    <col min="9" max="9" width="12.7109375" style="6" customWidth="1" outlineLevel="1"/>
    <col min="10" max="10" width="13.7109375" style="6" bestFit="1" customWidth="1"/>
    <col min="11" max="11" width="14" style="43" bestFit="1" customWidth="1" outlineLevel="1"/>
    <col min="12" max="12" width="12.7109375" style="6" customWidth="1" outlineLevel="1"/>
    <col min="13" max="14" width="14.42578125" style="6" customWidth="1"/>
    <col min="15" max="15" width="15.28515625" style="6" customWidth="1"/>
    <col min="16" max="17" width="11.85546875" style="6" customWidth="1"/>
    <col min="18" max="18" width="14" style="6" customWidth="1"/>
    <col min="19" max="20" width="11.140625" style="6" bestFit="1" customWidth="1"/>
    <col min="21" max="21" width="9.140625" style="6"/>
    <col min="22" max="22" width="13.5703125" style="6" bestFit="1" customWidth="1"/>
    <col min="23" max="23" width="12.7109375" bestFit="1" customWidth="1"/>
  </cols>
  <sheetData>
    <row r="1" spans="1:22" ht="23.25" x14ac:dyDescent="0.35">
      <c r="A1" s="5" t="s">
        <v>302</v>
      </c>
    </row>
    <row r="2" spans="1:22" x14ac:dyDescent="0.25">
      <c r="A2" t="s">
        <v>1</v>
      </c>
    </row>
    <row r="3" spans="1:22" x14ac:dyDescent="0.25">
      <c r="A3" s="1">
        <f>'Mental Health Funds'!A3</f>
        <v>43830</v>
      </c>
    </row>
    <row r="4" spans="1:22" x14ac:dyDescent="0.25">
      <c r="A4" s="1"/>
    </row>
    <row r="5" spans="1:22" ht="45" x14ac:dyDescent="0.25">
      <c r="A5" s="1"/>
      <c r="B5" s="7" t="s">
        <v>303</v>
      </c>
      <c r="C5" s="7" t="s">
        <v>47</v>
      </c>
      <c r="D5" s="7" t="s">
        <v>304</v>
      </c>
      <c r="E5" s="7" t="s">
        <v>293</v>
      </c>
      <c r="F5" s="7" t="s">
        <v>47</v>
      </c>
      <c r="G5" s="7" t="s">
        <v>292</v>
      </c>
      <c r="H5" s="44" t="s">
        <v>291</v>
      </c>
      <c r="I5" s="7" t="s">
        <v>47</v>
      </c>
      <c r="J5" s="7" t="s">
        <v>290</v>
      </c>
      <c r="K5" s="44" t="s">
        <v>289</v>
      </c>
      <c r="L5" s="7" t="s">
        <v>47</v>
      </c>
      <c r="M5" s="7" t="s">
        <v>288</v>
      </c>
      <c r="N5" s="7" t="s">
        <v>246</v>
      </c>
      <c r="O5" s="18" t="s">
        <v>305</v>
      </c>
      <c r="P5" s="7"/>
      <c r="Q5" s="7"/>
      <c r="R5" s="7"/>
      <c r="S5" s="7"/>
      <c r="T5" s="7"/>
      <c r="U5" s="7"/>
      <c r="V5" s="7"/>
    </row>
    <row r="6" spans="1:22" x14ac:dyDescent="0.25">
      <c r="O6" s="17"/>
    </row>
    <row r="7" spans="1:22" x14ac:dyDescent="0.25">
      <c r="A7" s="3" t="s">
        <v>2</v>
      </c>
      <c r="O7" s="17"/>
    </row>
    <row r="8" spans="1:22" x14ac:dyDescent="0.25">
      <c r="A8" s="4" t="s">
        <v>3</v>
      </c>
      <c r="B8" s="20">
        <v>1271133.19</v>
      </c>
      <c r="C8" s="20"/>
      <c r="D8" s="6">
        <f t="shared" ref="D8:D13" si="0">B8+C8</f>
        <v>1271133.19</v>
      </c>
      <c r="E8" s="20">
        <v>0</v>
      </c>
      <c r="F8" s="20"/>
      <c r="G8" s="49">
        <f t="shared" ref="G8:G13" si="1">E8+F8</f>
        <v>0</v>
      </c>
      <c r="H8" s="46">
        <v>0</v>
      </c>
      <c r="I8" s="20"/>
      <c r="J8" s="6">
        <f t="shared" ref="J8:J13" si="2">H8+I8</f>
        <v>0</v>
      </c>
      <c r="K8" s="46">
        <v>42967.53</v>
      </c>
      <c r="L8" s="20"/>
      <c r="M8" s="6">
        <f t="shared" ref="M8:M13" si="3">K8+L8</f>
        <v>42967.53</v>
      </c>
      <c r="N8" s="6">
        <f>'Human Services 1150'!D8</f>
        <v>-11109.26</v>
      </c>
      <c r="O8" s="17">
        <f>D8+G8+J8+M8+N8</f>
        <v>1302991.46</v>
      </c>
    </row>
    <row r="9" spans="1:22" x14ac:dyDescent="0.25">
      <c r="A9" s="4" t="s">
        <v>189</v>
      </c>
      <c r="B9" s="20"/>
      <c r="C9" s="20"/>
      <c r="D9" s="6">
        <f t="shared" si="0"/>
        <v>0</v>
      </c>
      <c r="E9" s="20"/>
      <c r="F9" s="20"/>
      <c r="G9" s="6">
        <f t="shared" si="1"/>
        <v>0</v>
      </c>
      <c r="H9" s="46"/>
      <c r="I9" s="20"/>
      <c r="J9" s="6">
        <f t="shared" si="2"/>
        <v>0</v>
      </c>
      <c r="K9" s="46"/>
      <c r="L9" s="20"/>
      <c r="M9" s="6">
        <f t="shared" si="3"/>
        <v>0</v>
      </c>
      <c r="N9" s="6">
        <f>'Human Services 1150'!D9</f>
        <v>0</v>
      </c>
      <c r="O9" s="17">
        <f t="shared" ref="O9:O58" si="4">D9+G9+J9+M9+N9</f>
        <v>0</v>
      </c>
    </row>
    <row r="10" spans="1:22" x14ac:dyDescent="0.25">
      <c r="A10" s="4" t="s">
        <v>4</v>
      </c>
      <c r="B10" s="20">
        <v>50867.6</v>
      </c>
      <c r="C10" s="20"/>
      <c r="D10" s="6">
        <f>B10+C10</f>
        <v>50867.6</v>
      </c>
      <c r="E10" s="20"/>
      <c r="F10" s="20"/>
      <c r="G10" s="6">
        <f t="shared" si="1"/>
        <v>0</v>
      </c>
      <c r="H10" s="46"/>
      <c r="I10" s="20"/>
      <c r="J10" s="6">
        <f t="shared" si="2"/>
        <v>0</v>
      </c>
      <c r="K10" s="46">
        <v>24941.8</v>
      </c>
      <c r="L10" s="20"/>
      <c r="M10" s="6">
        <f>K10+L10</f>
        <v>24941.8</v>
      </c>
      <c r="N10" s="6">
        <f>'Human Services 1150'!D10</f>
        <v>14633</v>
      </c>
      <c r="O10" s="17">
        <f t="shared" si="4"/>
        <v>90442.4</v>
      </c>
    </row>
    <row r="11" spans="1:22" x14ac:dyDescent="0.25">
      <c r="A11" s="4" t="s">
        <v>6</v>
      </c>
      <c r="B11" s="20"/>
      <c r="C11" s="20">
        <v>14236.61</v>
      </c>
      <c r="D11" s="6">
        <f t="shared" si="0"/>
        <v>14236.61</v>
      </c>
      <c r="E11" s="20"/>
      <c r="F11" s="20"/>
      <c r="G11" s="6">
        <f t="shared" si="1"/>
        <v>0</v>
      </c>
      <c r="H11" s="46"/>
      <c r="I11" s="20"/>
      <c r="J11" s="6">
        <f t="shared" si="2"/>
        <v>0</v>
      </c>
      <c r="K11" s="46"/>
      <c r="L11" s="20">
        <v>3232.01</v>
      </c>
      <c r="M11" s="6">
        <f t="shared" si="3"/>
        <v>3232.01</v>
      </c>
      <c r="N11" s="6">
        <f>'Human Services 1150'!D11</f>
        <v>0</v>
      </c>
      <c r="O11" s="17">
        <f t="shared" si="4"/>
        <v>17468.620000000003</v>
      </c>
    </row>
    <row r="12" spans="1:22" x14ac:dyDescent="0.25">
      <c r="A12" s="4" t="s">
        <v>5</v>
      </c>
      <c r="B12" s="20"/>
      <c r="C12" s="20"/>
      <c r="D12" s="6">
        <f t="shared" si="0"/>
        <v>0</v>
      </c>
      <c r="E12" s="20"/>
      <c r="F12" s="20"/>
      <c r="G12" s="6">
        <f t="shared" si="1"/>
        <v>0</v>
      </c>
      <c r="H12" s="46"/>
      <c r="I12" s="20"/>
      <c r="J12" s="6">
        <f t="shared" si="2"/>
        <v>0</v>
      </c>
      <c r="K12" s="46"/>
      <c r="L12" s="20"/>
      <c r="M12" s="6">
        <f>K12+L12</f>
        <v>0</v>
      </c>
      <c r="N12" s="6">
        <f>'Human Services 1150'!D12</f>
        <v>0</v>
      </c>
      <c r="O12" s="17">
        <f t="shared" si="4"/>
        <v>0</v>
      </c>
    </row>
    <row r="13" spans="1:22" x14ac:dyDescent="0.25">
      <c r="A13" s="4" t="s">
        <v>61</v>
      </c>
      <c r="B13" s="20">
        <v>14236.61</v>
      </c>
      <c r="C13" s="20">
        <v>-14236.61</v>
      </c>
      <c r="D13" s="6">
        <f t="shared" si="0"/>
        <v>0</v>
      </c>
      <c r="E13" s="20"/>
      <c r="F13" s="20"/>
      <c r="G13" s="6">
        <f t="shared" si="1"/>
        <v>0</v>
      </c>
      <c r="H13" s="46"/>
      <c r="I13" s="20"/>
      <c r="J13" s="6">
        <f t="shared" si="2"/>
        <v>0</v>
      </c>
      <c r="K13" s="46">
        <v>3232.01</v>
      </c>
      <c r="L13" s="20">
        <v>-3232.01</v>
      </c>
      <c r="M13" s="6">
        <f t="shared" si="3"/>
        <v>0</v>
      </c>
      <c r="N13" s="6">
        <f>'Human Services 1150'!D13</f>
        <v>0</v>
      </c>
      <c r="O13" s="17">
        <f t="shared" si="4"/>
        <v>0</v>
      </c>
    </row>
    <row r="14" spans="1:22" x14ac:dyDescent="0.25">
      <c r="A14" s="2" t="s">
        <v>7</v>
      </c>
      <c r="B14" s="6">
        <f t="shared" ref="B14:L14" si="5">SUM(B8:B13)</f>
        <v>1336237.4000000001</v>
      </c>
      <c r="C14" s="6">
        <f t="shared" si="5"/>
        <v>0</v>
      </c>
      <c r="D14" s="6">
        <f t="shared" si="5"/>
        <v>1336237.4000000001</v>
      </c>
      <c r="E14" s="6">
        <f t="shared" si="5"/>
        <v>0</v>
      </c>
      <c r="F14" s="6">
        <f t="shared" si="5"/>
        <v>0</v>
      </c>
      <c r="G14" s="6">
        <f t="shared" si="5"/>
        <v>0</v>
      </c>
      <c r="H14" s="43">
        <f t="shared" si="5"/>
        <v>0</v>
      </c>
      <c r="I14" s="6">
        <f t="shared" si="5"/>
        <v>0</v>
      </c>
      <c r="J14" s="6">
        <f t="shared" si="5"/>
        <v>0</v>
      </c>
      <c r="K14" s="43">
        <f t="shared" si="5"/>
        <v>71141.34</v>
      </c>
      <c r="L14" s="6">
        <f t="shared" si="5"/>
        <v>0</v>
      </c>
      <c r="M14" s="6">
        <f>SUM(M8:M13)</f>
        <v>71141.34</v>
      </c>
      <c r="N14" s="6">
        <f>'Human Services 1150'!D14</f>
        <v>3523.74</v>
      </c>
      <c r="O14" s="17">
        <f t="shared" si="4"/>
        <v>1410902.4800000002</v>
      </c>
    </row>
    <row r="15" spans="1:22" x14ac:dyDescent="0.25">
      <c r="O15" s="17"/>
    </row>
    <row r="16" spans="1:22" x14ac:dyDescent="0.25">
      <c r="A16" s="3" t="s">
        <v>8</v>
      </c>
      <c r="O16" s="17"/>
    </row>
    <row r="17" spans="1:23" x14ac:dyDescent="0.25">
      <c r="A17" s="4" t="s">
        <v>9</v>
      </c>
      <c r="B17" s="20">
        <v>43725.99</v>
      </c>
      <c r="C17" s="20"/>
      <c r="D17" s="6">
        <f>B17+C17</f>
        <v>43725.99</v>
      </c>
      <c r="E17" s="20"/>
      <c r="F17" s="20"/>
      <c r="G17" s="6">
        <f>E17+F17</f>
        <v>0</v>
      </c>
      <c r="H17" s="46"/>
      <c r="I17" s="20"/>
      <c r="J17" s="6">
        <f>H17+I17</f>
        <v>0</v>
      </c>
      <c r="K17" s="46">
        <v>33257.65</v>
      </c>
      <c r="L17" s="20"/>
      <c r="M17" s="6">
        <f>K17+L17</f>
        <v>33257.65</v>
      </c>
      <c r="N17" s="6">
        <f>'Human Services 1150'!D17</f>
        <v>447.8</v>
      </c>
      <c r="O17" s="17">
        <f t="shared" si="4"/>
        <v>77431.44</v>
      </c>
    </row>
    <row r="18" spans="1:23" s="6" customFormat="1" x14ac:dyDescent="0.25">
      <c r="A18" s="4" t="s">
        <v>10</v>
      </c>
      <c r="B18" s="20">
        <v>25832.01</v>
      </c>
      <c r="C18" s="20"/>
      <c r="D18" s="6">
        <f>B18+C18</f>
        <v>25832.01</v>
      </c>
      <c r="E18" s="20"/>
      <c r="F18" s="20"/>
      <c r="G18" s="6">
        <f>E18+F18</f>
        <v>0</v>
      </c>
      <c r="H18" s="46"/>
      <c r="I18" s="20"/>
      <c r="J18" s="6">
        <f>H18+I18</f>
        <v>0</v>
      </c>
      <c r="K18" s="46">
        <v>7875.71</v>
      </c>
      <c r="L18" s="20"/>
      <c r="M18" s="6">
        <f>K18+L18</f>
        <v>7875.71</v>
      </c>
      <c r="N18" s="6">
        <f>'Human Services 1150'!D18</f>
        <v>2800.63</v>
      </c>
      <c r="O18" s="17">
        <f t="shared" si="4"/>
        <v>36508.35</v>
      </c>
      <c r="W18"/>
    </row>
    <row r="19" spans="1:23" s="6" customFormat="1" x14ac:dyDescent="0.25">
      <c r="A19" s="4" t="s">
        <v>190</v>
      </c>
      <c r="B19" s="20"/>
      <c r="C19" s="20"/>
      <c r="D19" s="6">
        <f>B19+C19</f>
        <v>0</v>
      </c>
      <c r="E19" s="20"/>
      <c r="F19" s="20"/>
      <c r="G19" s="6">
        <f>E19+F19</f>
        <v>0</v>
      </c>
      <c r="H19" s="46"/>
      <c r="I19" s="20"/>
      <c r="J19" s="6">
        <f>H19+I19</f>
        <v>0</v>
      </c>
      <c r="K19" s="46"/>
      <c r="L19" s="20"/>
      <c r="M19" s="6">
        <f>K19+L19</f>
        <v>0</v>
      </c>
      <c r="N19" s="6">
        <f>'Human Services 1150'!D19</f>
        <v>0</v>
      </c>
      <c r="O19" s="17">
        <f t="shared" si="4"/>
        <v>0</v>
      </c>
      <c r="W19"/>
    </row>
    <row r="20" spans="1:23" s="6" customFormat="1" x14ac:dyDescent="0.25">
      <c r="A20" s="4" t="s">
        <v>11</v>
      </c>
      <c r="B20" s="20"/>
      <c r="C20" s="20"/>
      <c r="D20" s="6">
        <f>B20+C20</f>
        <v>0</v>
      </c>
      <c r="E20" s="20"/>
      <c r="F20" s="20"/>
      <c r="G20" s="6">
        <f>E20+F20</f>
        <v>0</v>
      </c>
      <c r="H20" s="46"/>
      <c r="I20" s="20"/>
      <c r="J20" s="6">
        <f>H20+I20</f>
        <v>0</v>
      </c>
      <c r="K20" s="46"/>
      <c r="L20" s="20"/>
      <c r="M20" s="6">
        <f>K20+L20</f>
        <v>0</v>
      </c>
      <c r="N20" s="6">
        <f>'Human Services 1150'!D20</f>
        <v>0</v>
      </c>
      <c r="O20" s="17">
        <f t="shared" si="4"/>
        <v>0</v>
      </c>
      <c r="W20"/>
    </row>
    <row r="21" spans="1:23" s="6" customFormat="1" x14ac:dyDescent="0.25">
      <c r="A21" s="4" t="s">
        <v>12</v>
      </c>
      <c r="B21" s="20">
        <v>1266678.95</v>
      </c>
      <c r="C21" s="20"/>
      <c r="D21" s="6">
        <f>B21+C21</f>
        <v>1266678.95</v>
      </c>
      <c r="E21" s="20"/>
      <c r="F21" s="20"/>
      <c r="G21" s="6">
        <f>E21+F21</f>
        <v>0</v>
      </c>
      <c r="H21" s="46"/>
      <c r="I21" s="20"/>
      <c r="J21" s="6">
        <f>H21+I21</f>
        <v>0</v>
      </c>
      <c r="K21" s="46">
        <v>30007.98</v>
      </c>
      <c r="L21" s="20"/>
      <c r="M21" s="6">
        <f>K21+L21</f>
        <v>30007.98</v>
      </c>
      <c r="N21" s="6">
        <f>'Human Services 1150'!D21</f>
        <v>274.99</v>
      </c>
      <c r="O21" s="17">
        <f t="shared" si="4"/>
        <v>1296961.92</v>
      </c>
      <c r="W21"/>
    </row>
    <row r="22" spans="1:23" s="6" customFormat="1" x14ac:dyDescent="0.25">
      <c r="A22" s="2" t="s">
        <v>13</v>
      </c>
      <c r="B22" s="6">
        <f>SUM(B17:B21)</f>
        <v>1336236.95</v>
      </c>
      <c r="C22" s="6">
        <f t="shared" ref="C22:L22" si="6">SUM(C17:C21)</f>
        <v>0</v>
      </c>
      <c r="D22" s="6">
        <f t="shared" si="6"/>
        <v>1336236.95</v>
      </c>
      <c r="E22" s="6">
        <f t="shared" si="6"/>
        <v>0</v>
      </c>
      <c r="F22" s="6">
        <f t="shared" si="6"/>
        <v>0</v>
      </c>
      <c r="G22" s="6">
        <f t="shared" si="6"/>
        <v>0</v>
      </c>
      <c r="H22" s="43">
        <f t="shared" si="6"/>
        <v>0</v>
      </c>
      <c r="I22" s="6">
        <f t="shared" si="6"/>
        <v>0</v>
      </c>
      <c r="J22" s="6">
        <f t="shared" si="6"/>
        <v>0</v>
      </c>
      <c r="K22" s="43">
        <f t="shared" si="6"/>
        <v>71141.34</v>
      </c>
      <c r="L22" s="6">
        <f t="shared" si="6"/>
        <v>0</v>
      </c>
      <c r="M22" s="6">
        <f>SUM(M17:M21)</f>
        <v>71141.34</v>
      </c>
      <c r="N22" s="6">
        <f>'Human Services 1150'!D22</f>
        <v>3523.42</v>
      </c>
      <c r="O22" s="17">
        <f t="shared" si="4"/>
        <v>1410901.71</v>
      </c>
      <c r="W22"/>
    </row>
    <row r="23" spans="1:23" s="6" customFormat="1" x14ac:dyDescent="0.25">
      <c r="A23"/>
      <c r="H23" s="43"/>
      <c r="K23" s="43"/>
      <c r="O23" s="17"/>
      <c r="W23"/>
    </row>
    <row r="24" spans="1:23" s="6" customFormat="1" x14ac:dyDescent="0.25">
      <c r="A24" s="3" t="s">
        <v>14</v>
      </c>
      <c r="H24" s="43"/>
      <c r="K24" s="43"/>
      <c r="O24" s="17"/>
      <c r="W24"/>
    </row>
    <row r="25" spans="1:23" s="6" customFormat="1" x14ac:dyDescent="0.25">
      <c r="A25" s="4" t="s">
        <v>15</v>
      </c>
      <c r="B25" s="20"/>
      <c r="C25" s="20"/>
      <c r="D25" s="6">
        <f>B25+C25</f>
        <v>0</v>
      </c>
      <c r="E25" s="20"/>
      <c r="F25" s="20"/>
      <c r="G25" s="6">
        <f>E25+F25</f>
        <v>0</v>
      </c>
      <c r="H25" s="46"/>
      <c r="I25" s="20"/>
      <c r="J25" s="6">
        <f>H25+I25</f>
        <v>0</v>
      </c>
      <c r="K25" s="46"/>
      <c r="L25" s="20"/>
      <c r="M25" s="6">
        <f>K25+L25</f>
        <v>0</v>
      </c>
      <c r="N25" s="6">
        <f>'Human Services 1150'!D25</f>
        <v>255.57</v>
      </c>
      <c r="O25" s="17">
        <f t="shared" si="4"/>
        <v>255.57</v>
      </c>
      <c r="W25"/>
    </row>
    <row r="26" spans="1:23" s="6" customFormat="1" x14ac:dyDescent="0.25">
      <c r="A26" s="4" t="s">
        <v>16</v>
      </c>
      <c r="B26" s="193"/>
      <c r="C26" s="20"/>
      <c r="D26" s="6">
        <f>B26+C26</f>
        <v>0</v>
      </c>
      <c r="E26" s="193"/>
      <c r="F26" s="20"/>
      <c r="G26" s="6">
        <f>E26+F26</f>
        <v>0</v>
      </c>
      <c r="H26" s="46"/>
      <c r="I26" s="20"/>
      <c r="J26" s="6">
        <f>H26+I26</f>
        <v>0</v>
      </c>
      <c r="K26" s="192"/>
      <c r="L26" s="20"/>
      <c r="M26" s="6">
        <f>K26+L26</f>
        <v>0</v>
      </c>
      <c r="N26" s="6">
        <f>'Human Services 1150'!D26</f>
        <v>0</v>
      </c>
      <c r="O26" s="17">
        <f t="shared" si="4"/>
        <v>0</v>
      </c>
      <c r="W26"/>
    </row>
    <row r="27" spans="1:23" s="6" customFormat="1" x14ac:dyDescent="0.25">
      <c r="A27" s="4" t="s">
        <v>17</v>
      </c>
      <c r="B27" s="20">
        <v>0.45</v>
      </c>
      <c r="C27" s="20"/>
      <c r="D27" s="6">
        <f>B27+C27</f>
        <v>0.45</v>
      </c>
      <c r="E27" s="20"/>
      <c r="F27" s="20"/>
      <c r="G27" s="6">
        <f>E27+F27</f>
        <v>0</v>
      </c>
      <c r="H27" s="46"/>
      <c r="I27" s="20"/>
      <c r="J27" s="6">
        <f>H27+I27</f>
        <v>0</v>
      </c>
      <c r="K27" s="46"/>
      <c r="L27" s="20"/>
      <c r="M27" s="6">
        <f>K27+L27</f>
        <v>0</v>
      </c>
      <c r="N27" s="6">
        <f>'Human Services 1150'!D27</f>
        <v>-255.25</v>
      </c>
      <c r="O27" s="17">
        <f t="shared" si="4"/>
        <v>-254.8</v>
      </c>
      <c r="W27"/>
    </row>
    <row r="28" spans="1:23" s="6" customFormat="1" x14ac:dyDescent="0.25">
      <c r="A28" s="2" t="s">
        <v>18</v>
      </c>
      <c r="B28" s="6">
        <f t="shared" ref="B28:M28" si="7">SUM(B25:B27)</f>
        <v>0.45</v>
      </c>
      <c r="C28" s="6">
        <f t="shared" si="7"/>
        <v>0</v>
      </c>
      <c r="D28" s="6">
        <f t="shared" si="7"/>
        <v>0.45</v>
      </c>
      <c r="E28" s="6">
        <f t="shared" si="7"/>
        <v>0</v>
      </c>
      <c r="F28" s="6">
        <f t="shared" si="7"/>
        <v>0</v>
      </c>
      <c r="G28" s="6">
        <f t="shared" si="7"/>
        <v>0</v>
      </c>
      <c r="H28" s="43">
        <f t="shared" si="7"/>
        <v>0</v>
      </c>
      <c r="I28" s="6">
        <f t="shared" si="7"/>
        <v>0</v>
      </c>
      <c r="J28" s="6">
        <f t="shared" si="7"/>
        <v>0</v>
      </c>
      <c r="K28" s="43">
        <f t="shared" si="7"/>
        <v>0</v>
      </c>
      <c r="L28" s="6">
        <f t="shared" si="7"/>
        <v>0</v>
      </c>
      <c r="M28" s="6">
        <f t="shared" si="7"/>
        <v>0</v>
      </c>
      <c r="N28" s="6">
        <f>'Human Services 1150'!D28</f>
        <v>0.31999999999999318</v>
      </c>
      <c r="O28" s="17">
        <f t="shared" si="4"/>
        <v>0.76999999999999313</v>
      </c>
      <c r="W28"/>
    </row>
    <row r="29" spans="1:23" s="6" customFormat="1" x14ac:dyDescent="0.25">
      <c r="A29"/>
      <c r="H29" s="43"/>
      <c r="K29" s="43"/>
      <c r="O29" s="17"/>
      <c r="W29"/>
    </row>
    <row r="30" spans="1:23" s="6" customFormat="1" x14ac:dyDescent="0.25">
      <c r="A30" s="2" t="s">
        <v>19</v>
      </c>
      <c r="B30" s="6">
        <f t="shared" ref="B30:M30" si="8">B22+B28</f>
        <v>1336237.3999999999</v>
      </c>
      <c r="C30" s="6">
        <f t="shared" si="8"/>
        <v>0</v>
      </c>
      <c r="D30" s="6">
        <f t="shared" si="8"/>
        <v>1336237.3999999999</v>
      </c>
      <c r="E30" s="6">
        <f t="shared" si="8"/>
        <v>0</v>
      </c>
      <c r="F30" s="6">
        <f t="shared" si="8"/>
        <v>0</v>
      </c>
      <c r="G30" s="6">
        <f t="shared" si="8"/>
        <v>0</v>
      </c>
      <c r="H30" s="6">
        <f t="shared" si="8"/>
        <v>0</v>
      </c>
      <c r="I30" s="6">
        <f t="shared" si="8"/>
        <v>0</v>
      </c>
      <c r="J30" s="6">
        <f t="shared" si="8"/>
        <v>0</v>
      </c>
      <c r="K30" s="6">
        <f t="shared" si="8"/>
        <v>71141.34</v>
      </c>
      <c r="L30" s="6">
        <f t="shared" si="8"/>
        <v>0</v>
      </c>
      <c r="M30" s="6">
        <f t="shared" si="8"/>
        <v>71141.34</v>
      </c>
      <c r="N30" s="6">
        <f>'Human Services 1150'!D30</f>
        <v>3523.7400000000002</v>
      </c>
      <c r="O30" s="17">
        <f t="shared" si="4"/>
        <v>1410902.48</v>
      </c>
      <c r="W30"/>
    </row>
    <row r="31" spans="1:23" s="6" customFormat="1" x14ac:dyDescent="0.25">
      <c r="A31"/>
      <c r="B31" s="49" t="str">
        <f>IF(B14=B30,"YES","NO")</f>
        <v>YES</v>
      </c>
      <c r="C31" s="49" t="str">
        <f t="shared" ref="C31:M31" si="9">IF(C14=C30,"YES","NO")</f>
        <v>YES</v>
      </c>
      <c r="D31" s="49" t="str">
        <f t="shared" si="9"/>
        <v>YES</v>
      </c>
      <c r="E31" s="49" t="str">
        <f t="shared" si="9"/>
        <v>YES</v>
      </c>
      <c r="F31" s="49" t="str">
        <f t="shared" si="9"/>
        <v>YES</v>
      </c>
      <c r="G31" s="49" t="str">
        <f t="shared" si="9"/>
        <v>YES</v>
      </c>
      <c r="H31" s="49" t="str">
        <f t="shared" si="9"/>
        <v>YES</v>
      </c>
      <c r="I31" s="49" t="str">
        <f t="shared" si="9"/>
        <v>YES</v>
      </c>
      <c r="J31" s="49" t="str">
        <f t="shared" si="9"/>
        <v>YES</v>
      </c>
      <c r="K31" s="49" t="str">
        <f t="shared" si="9"/>
        <v>YES</v>
      </c>
      <c r="L31" s="49" t="str">
        <f t="shared" si="9"/>
        <v>YES</v>
      </c>
      <c r="M31" s="49" t="str">
        <f t="shared" si="9"/>
        <v>YES</v>
      </c>
      <c r="O31" s="17"/>
      <c r="W31"/>
    </row>
    <row r="32" spans="1:23" s="6" customFormat="1" x14ac:dyDescent="0.25">
      <c r="A32" s="3" t="s">
        <v>20</v>
      </c>
      <c r="H32" s="43"/>
      <c r="K32" s="43"/>
      <c r="O32" s="17"/>
      <c r="W32"/>
    </row>
    <row r="33" spans="1:23" s="6" customFormat="1" x14ac:dyDescent="0.25">
      <c r="A33" s="4" t="s">
        <v>21</v>
      </c>
      <c r="B33" s="20">
        <v>1489273.59</v>
      </c>
      <c r="C33" s="20"/>
      <c r="D33" s="6">
        <f>B33+C33</f>
        <v>1489273.59</v>
      </c>
      <c r="E33" s="20"/>
      <c r="F33" s="20"/>
      <c r="G33" s="6">
        <f>E33+F33</f>
        <v>0</v>
      </c>
      <c r="H33" s="46"/>
      <c r="I33" s="20"/>
      <c r="J33" s="6">
        <f>H33+I33</f>
        <v>0</v>
      </c>
      <c r="K33" s="46">
        <v>426980.19</v>
      </c>
      <c r="L33" s="20"/>
      <c r="M33" s="6">
        <f>K33+L33</f>
        <v>426980.19</v>
      </c>
      <c r="N33" s="6">
        <f>'Human Services 1150'!D33</f>
        <v>86856.01</v>
      </c>
      <c r="O33" s="17">
        <f t="shared" si="4"/>
        <v>2003109.79</v>
      </c>
      <c r="W33"/>
    </row>
    <row r="34" spans="1:23" s="6" customFormat="1" x14ac:dyDescent="0.25">
      <c r="A34" s="4" t="s">
        <v>22</v>
      </c>
      <c r="B34" s="20"/>
      <c r="C34" s="20"/>
      <c r="D34" s="6">
        <f>B34+C34</f>
        <v>0</v>
      </c>
      <c r="E34" s="20"/>
      <c r="F34" s="20"/>
      <c r="G34" s="6">
        <f>E34+F34</f>
        <v>0</v>
      </c>
      <c r="H34" s="46"/>
      <c r="I34" s="20"/>
      <c r="J34" s="6">
        <f>H34+I34</f>
        <v>0</v>
      </c>
      <c r="K34" s="46"/>
      <c r="L34" s="20"/>
      <c r="M34" s="6">
        <f>K34+L34</f>
        <v>0</v>
      </c>
      <c r="N34" s="6">
        <f>'Human Services 1150'!D34</f>
        <v>0</v>
      </c>
      <c r="O34" s="17">
        <f t="shared" si="4"/>
        <v>0</v>
      </c>
      <c r="W34"/>
    </row>
    <row r="35" spans="1:23" s="6" customFormat="1" x14ac:dyDescent="0.25">
      <c r="A35" s="4" t="s">
        <v>201</v>
      </c>
      <c r="B35" s="20">
        <v>8432.1200000000008</v>
      </c>
      <c r="C35" s="20"/>
      <c r="D35" s="6">
        <f>B35+C35</f>
        <v>8432.1200000000008</v>
      </c>
      <c r="E35" s="20"/>
      <c r="F35" s="20"/>
      <c r="G35" s="6">
        <f>E35+F35</f>
        <v>0</v>
      </c>
      <c r="H35" s="46"/>
      <c r="I35" s="20"/>
      <c r="J35" s="6">
        <f>H35+I35</f>
        <v>0</v>
      </c>
      <c r="K35" s="46"/>
      <c r="L35" s="20"/>
      <c r="M35" s="6">
        <f>K35+L35</f>
        <v>0</v>
      </c>
      <c r="N35" s="6">
        <f>'Human Services 1150'!D35</f>
        <v>0</v>
      </c>
      <c r="O35" s="17">
        <f t="shared" si="4"/>
        <v>8432.1200000000008</v>
      </c>
      <c r="W35"/>
    </row>
    <row r="36" spans="1:23" s="6" customFormat="1" x14ac:dyDescent="0.25">
      <c r="A36" s="4" t="s">
        <v>23</v>
      </c>
      <c r="B36" s="20">
        <v>4167.84</v>
      </c>
      <c r="C36" s="20"/>
      <c r="D36" s="6">
        <f>B36+C36</f>
        <v>4167.84</v>
      </c>
      <c r="E36" s="20"/>
      <c r="F36" s="20"/>
      <c r="G36" s="6">
        <f>E36+F36</f>
        <v>0</v>
      </c>
      <c r="H36" s="46"/>
      <c r="I36" s="20"/>
      <c r="J36" s="6">
        <f>H36+I36</f>
        <v>0</v>
      </c>
      <c r="K36" s="46">
        <v>126.93</v>
      </c>
      <c r="L36" s="20"/>
      <c r="M36" s="6">
        <f>K36+L36</f>
        <v>126.93</v>
      </c>
      <c r="N36" s="6">
        <f>'Human Services 1150'!D36</f>
        <v>0</v>
      </c>
      <c r="O36" s="17">
        <f t="shared" si="4"/>
        <v>4294.7700000000004</v>
      </c>
      <c r="W36"/>
    </row>
    <row r="37" spans="1:23" s="6" customFormat="1" x14ac:dyDescent="0.25">
      <c r="A37" s="4" t="s">
        <v>24</v>
      </c>
      <c r="B37" s="20">
        <v>16158</v>
      </c>
      <c r="C37" s="20"/>
      <c r="D37" s="6">
        <f>B37+C37</f>
        <v>16158</v>
      </c>
      <c r="E37" s="20"/>
      <c r="F37" s="20"/>
      <c r="G37" s="6">
        <f>E37+F37</f>
        <v>0</v>
      </c>
      <c r="H37" s="46"/>
      <c r="I37" s="20"/>
      <c r="J37" s="6">
        <f>H37+I37</f>
        <v>0</v>
      </c>
      <c r="K37" s="46">
        <v>1000</v>
      </c>
      <c r="L37" s="20"/>
      <c r="M37" s="6">
        <f>K37+L37</f>
        <v>1000</v>
      </c>
      <c r="N37" s="6">
        <f>'Human Services 1150'!D37</f>
        <v>0</v>
      </c>
      <c r="O37" s="17">
        <f t="shared" si="4"/>
        <v>17158</v>
      </c>
      <c r="W37"/>
    </row>
    <row r="38" spans="1:23" s="6" customFormat="1" x14ac:dyDescent="0.25">
      <c r="A38" s="2" t="s">
        <v>25</v>
      </c>
      <c r="B38" s="6">
        <f t="shared" ref="B38:M38" si="10">SUM(B33:B37)</f>
        <v>1518031.5500000003</v>
      </c>
      <c r="C38" s="6">
        <f t="shared" si="10"/>
        <v>0</v>
      </c>
      <c r="D38" s="6">
        <f t="shared" si="10"/>
        <v>1518031.5500000003</v>
      </c>
      <c r="E38" s="6">
        <f t="shared" si="10"/>
        <v>0</v>
      </c>
      <c r="F38" s="6">
        <f t="shared" si="10"/>
        <v>0</v>
      </c>
      <c r="G38" s="6">
        <f t="shared" si="10"/>
        <v>0</v>
      </c>
      <c r="H38" s="43">
        <f t="shared" si="10"/>
        <v>0</v>
      </c>
      <c r="I38" s="6">
        <f t="shared" si="10"/>
        <v>0</v>
      </c>
      <c r="J38" s="6">
        <f t="shared" si="10"/>
        <v>0</v>
      </c>
      <c r="K38" s="43">
        <f>SUM(K33:K37)</f>
        <v>428107.12</v>
      </c>
      <c r="L38" s="6">
        <f t="shared" si="10"/>
        <v>0</v>
      </c>
      <c r="M38" s="6">
        <f t="shared" si="10"/>
        <v>428107.12</v>
      </c>
      <c r="N38" s="6">
        <f>'Human Services 1150'!D38</f>
        <v>86856.01</v>
      </c>
      <c r="O38" s="17">
        <f t="shared" si="4"/>
        <v>2032994.6800000004</v>
      </c>
      <c r="W38"/>
    </row>
    <row r="39" spans="1:23" s="6" customFormat="1" x14ac:dyDescent="0.25">
      <c r="A39"/>
      <c r="H39" s="43"/>
      <c r="K39" s="43"/>
      <c r="O39" s="17"/>
      <c r="W39"/>
    </row>
    <row r="40" spans="1:23" s="6" customFormat="1" x14ac:dyDescent="0.25">
      <c r="A40" s="3" t="s">
        <v>26</v>
      </c>
      <c r="H40" s="43"/>
      <c r="K40" s="43"/>
      <c r="O40" s="17"/>
      <c r="W40"/>
    </row>
    <row r="41" spans="1:23" s="6" customFormat="1" x14ac:dyDescent="0.25">
      <c r="A41" s="4" t="s">
        <v>27</v>
      </c>
      <c r="B41" s="55"/>
      <c r="C41" s="20"/>
      <c r="D41" s="6">
        <f t="shared" ref="D41:D46" si="11">B41+C41</f>
        <v>0</v>
      </c>
      <c r="E41" s="20"/>
      <c r="F41" s="20"/>
      <c r="G41" s="6">
        <f t="shared" ref="G41:G46" si="12">E41+F41</f>
        <v>0</v>
      </c>
      <c r="H41" s="46"/>
      <c r="I41" s="20"/>
      <c r="J41" s="6">
        <f t="shared" ref="J41:J46" si="13">H41+I41</f>
        <v>0</v>
      </c>
      <c r="K41" s="74"/>
      <c r="L41" s="20"/>
      <c r="M41" s="6">
        <f t="shared" ref="M41:M46" si="14">K41+L41</f>
        <v>0</v>
      </c>
      <c r="N41" s="6">
        <f>'Human Services 1150'!D41</f>
        <v>0</v>
      </c>
      <c r="O41" s="17">
        <f t="shared" si="4"/>
        <v>0</v>
      </c>
      <c r="W41"/>
    </row>
    <row r="42" spans="1:23" s="6" customFormat="1" x14ac:dyDescent="0.25">
      <c r="A42" s="4" t="s">
        <v>28</v>
      </c>
      <c r="B42" s="55"/>
      <c r="C42" s="20"/>
      <c r="D42" s="6">
        <f t="shared" si="11"/>
        <v>0</v>
      </c>
      <c r="E42" s="20"/>
      <c r="F42" s="20"/>
      <c r="G42" s="6">
        <f t="shared" si="12"/>
        <v>0</v>
      </c>
      <c r="H42" s="46"/>
      <c r="I42" s="20"/>
      <c r="J42" s="6">
        <f t="shared" si="13"/>
        <v>0</v>
      </c>
      <c r="K42" s="74"/>
      <c r="L42" s="20"/>
      <c r="M42" s="6">
        <f t="shared" si="14"/>
        <v>0</v>
      </c>
      <c r="N42" s="6">
        <f>'Human Services 1150'!D42</f>
        <v>0</v>
      </c>
      <c r="O42" s="17">
        <f t="shared" si="4"/>
        <v>0</v>
      </c>
      <c r="W42"/>
    </row>
    <row r="43" spans="1:23" s="6" customFormat="1" x14ac:dyDescent="0.25">
      <c r="A43" s="4" t="s">
        <v>29</v>
      </c>
      <c r="B43" s="55"/>
      <c r="C43" s="20"/>
      <c r="D43" s="6">
        <f t="shared" si="11"/>
        <v>0</v>
      </c>
      <c r="E43" s="20"/>
      <c r="F43" s="20"/>
      <c r="G43" s="6">
        <f t="shared" si="12"/>
        <v>0</v>
      </c>
      <c r="H43" s="46"/>
      <c r="I43" s="20"/>
      <c r="J43" s="6">
        <f t="shared" si="13"/>
        <v>0</v>
      </c>
      <c r="K43" s="74"/>
      <c r="L43" s="20"/>
      <c r="M43" s="6">
        <f t="shared" si="14"/>
        <v>0</v>
      </c>
      <c r="N43" s="6">
        <f>'Human Services 1150'!D43</f>
        <v>0</v>
      </c>
      <c r="O43" s="17">
        <f t="shared" si="4"/>
        <v>0</v>
      </c>
      <c r="W43"/>
    </row>
    <row r="44" spans="1:23" s="6" customFormat="1" x14ac:dyDescent="0.25">
      <c r="A44" s="4" t="s">
        <v>30</v>
      </c>
      <c r="B44" s="55"/>
      <c r="C44" s="20"/>
      <c r="D44" s="6">
        <f t="shared" si="11"/>
        <v>0</v>
      </c>
      <c r="E44" s="20"/>
      <c r="F44" s="20"/>
      <c r="G44" s="6">
        <f t="shared" si="12"/>
        <v>0</v>
      </c>
      <c r="H44" s="46"/>
      <c r="I44" s="20"/>
      <c r="J44" s="6">
        <f t="shared" si="13"/>
        <v>0</v>
      </c>
      <c r="K44" s="74"/>
      <c r="L44" s="20"/>
      <c r="M44" s="6">
        <f t="shared" si="14"/>
        <v>0</v>
      </c>
      <c r="N44" s="6">
        <f>'Human Services 1150'!D44</f>
        <v>0</v>
      </c>
      <c r="O44" s="17">
        <f t="shared" si="4"/>
        <v>0</v>
      </c>
      <c r="W44"/>
    </row>
    <row r="45" spans="1:23" s="6" customFormat="1" x14ac:dyDescent="0.25">
      <c r="A45" s="4" t="s">
        <v>31</v>
      </c>
      <c r="B45" s="20">
        <v>1359633.02</v>
      </c>
      <c r="C45" s="20"/>
      <c r="D45" s="6">
        <f t="shared" si="11"/>
        <v>1359633.02</v>
      </c>
      <c r="E45" s="20"/>
      <c r="F45" s="20"/>
      <c r="G45" s="6">
        <f t="shared" si="12"/>
        <v>0</v>
      </c>
      <c r="H45" s="46"/>
      <c r="I45" s="20"/>
      <c r="J45" s="6">
        <f t="shared" si="13"/>
        <v>0</v>
      </c>
      <c r="K45" s="46">
        <v>445435.25</v>
      </c>
      <c r="L45" s="20"/>
      <c r="M45" s="6">
        <f t="shared" si="14"/>
        <v>445435.25</v>
      </c>
      <c r="N45" s="6">
        <f>'Human Services 1150'!D45</f>
        <v>86856.01</v>
      </c>
      <c r="O45" s="17">
        <f t="shared" si="4"/>
        <v>1891924.28</v>
      </c>
      <c r="W45"/>
    </row>
    <row r="46" spans="1:23" s="6" customFormat="1" x14ac:dyDescent="0.25">
      <c r="A46" s="4" t="s">
        <v>62</v>
      </c>
      <c r="B46" s="75"/>
      <c r="C46" s="20"/>
      <c r="D46" s="6">
        <f t="shared" si="11"/>
        <v>0</v>
      </c>
      <c r="E46" s="20"/>
      <c r="F46" s="20"/>
      <c r="G46" s="6">
        <f t="shared" si="12"/>
        <v>0</v>
      </c>
      <c r="H46" s="46"/>
      <c r="I46" s="20"/>
      <c r="J46" s="6">
        <f t="shared" si="13"/>
        <v>0</v>
      </c>
      <c r="K46" s="74"/>
      <c r="L46" s="20"/>
      <c r="M46" s="6">
        <f t="shared" si="14"/>
        <v>0</v>
      </c>
      <c r="N46" s="6">
        <f>'Human Services 1150'!D46</f>
        <v>0</v>
      </c>
      <c r="O46" s="17">
        <f t="shared" si="4"/>
        <v>0</v>
      </c>
      <c r="W46"/>
    </row>
    <row r="47" spans="1:23" s="6" customFormat="1" x14ac:dyDescent="0.25">
      <c r="A47" s="2" t="s">
        <v>32</v>
      </c>
      <c r="B47" s="6">
        <f t="shared" ref="B47:M47" si="15">SUM(B41:B46)</f>
        <v>1359633.02</v>
      </c>
      <c r="C47" s="6">
        <f t="shared" si="15"/>
        <v>0</v>
      </c>
      <c r="D47" s="6">
        <f t="shared" si="15"/>
        <v>1359633.02</v>
      </c>
      <c r="E47" s="6">
        <f t="shared" si="15"/>
        <v>0</v>
      </c>
      <c r="F47" s="6">
        <f t="shared" si="15"/>
        <v>0</v>
      </c>
      <c r="G47" s="6">
        <f t="shared" si="15"/>
        <v>0</v>
      </c>
      <c r="H47" s="43">
        <f t="shared" si="15"/>
        <v>0</v>
      </c>
      <c r="I47" s="6">
        <f t="shared" si="15"/>
        <v>0</v>
      </c>
      <c r="J47" s="6">
        <f t="shared" si="15"/>
        <v>0</v>
      </c>
      <c r="K47" s="43">
        <f t="shared" si="15"/>
        <v>445435.25</v>
      </c>
      <c r="L47" s="6">
        <f t="shared" si="15"/>
        <v>0</v>
      </c>
      <c r="M47" s="6">
        <f t="shared" si="15"/>
        <v>445435.25</v>
      </c>
      <c r="N47" s="6">
        <f>'Human Services 1150'!D47</f>
        <v>86856.01</v>
      </c>
      <c r="O47" s="17">
        <f t="shared" si="4"/>
        <v>1891924.28</v>
      </c>
      <c r="W47"/>
    </row>
    <row r="48" spans="1:23" s="6" customFormat="1" x14ac:dyDescent="0.25">
      <c r="A48"/>
      <c r="H48" s="43"/>
      <c r="K48" s="43"/>
      <c r="O48" s="17"/>
      <c r="W48"/>
    </row>
    <row r="49" spans="1:23" s="6" customFormat="1" x14ac:dyDescent="0.25">
      <c r="A49" s="2" t="s">
        <v>33</v>
      </c>
      <c r="B49" s="6">
        <f>B38-B47</f>
        <v>158398.53000000026</v>
      </c>
      <c r="C49" s="6">
        <f>C38-C47</f>
        <v>0</v>
      </c>
      <c r="D49" s="6">
        <f>D38-D47</f>
        <v>158398.53000000026</v>
      </c>
      <c r="E49" s="6">
        <f>E38-E47</f>
        <v>0</v>
      </c>
      <c r="F49" s="6">
        <f>F38-F47</f>
        <v>0</v>
      </c>
      <c r="G49" s="6">
        <f t="shared" ref="G49:M49" si="16">G38-G47</f>
        <v>0</v>
      </c>
      <c r="H49" s="43">
        <f t="shared" si="16"/>
        <v>0</v>
      </c>
      <c r="I49" s="6">
        <f t="shared" si="16"/>
        <v>0</v>
      </c>
      <c r="J49" s="6">
        <f t="shared" si="16"/>
        <v>0</v>
      </c>
      <c r="K49" s="43">
        <f t="shared" si="16"/>
        <v>-17328.130000000005</v>
      </c>
      <c r="L49" s="6">
        <f t="shared" si="16"/>
        <v>0</v>
      </c>
      <c r="M49" s="6">
        <f t="shared" si="16"/>
        <v>-17328.130000000005</v>
      </c>
      <c r="N49" s="6">
        <f>'Human Services 1150'!D49</f>
        <v>0</v>
      </c>
      <c r="O49" s="17">
        <f t="shared" si="4"/>
        <v>141070.40000000026</v>
      </c>
      <c r="W49"/>
    </row>
    <row r="50" spans="1:23" s="6" customFormat="1" x14ac:dyDescent="0.25">
      <c r="A50" s="2"/>
      <c r="H50" s="43"/>
      <c r="K50" s="43"/>
      <c r="O50" s="17"/>
      <c r="W50"/>
    </row>
    <row r="51" spans="1:23" s="6" customFormat="1" x14ac:dyDescent="0.25">
      <c r="A51" s="34" t="s">
        <v>300</v>
      </c>
      <c r="B51" s="20"/>
      <c r="C51" s="20"/>
      <c r="D51" s="6">
        <f>B51+C51</f>
        <v>0</v>
      </c>
      <c r="E51" s="20"/>
      <c r="F51" s="20"/>
      <c r="G51" s="6">
        <f>E51+F51</f>
        <v>0</v>
      </c>
      <c r="H51" s="46"/>
      <c r="I51" s="20"/>
      <c r="J51" s="6">
        <f>H51+I51</f>
        <v>0</v>
      </c>
      <c r="K51" s="46"/>
      <c r="L51" s="20"/>
      <c r="M51" s="6">
        <f>K51+L51</f>
        <v>0</v>
      </c>
      <c r="N51" s="6">
        <f>'Human Services 1150'!D51</f>
        <v>0</v>
      </c>
      <c r="O51" s="17">
        <f t="shared" si="4"/>
        <v>0</v>
      </c>
      <c r="W51"/>
    </row>
    <row r="52" spans="1:23" s="6" customFormat="1" x14ac:dyDescent="0.25">
      <c r="A52" t="s">
        <v>34</v>
      </c>
      <c r="B52" s="20">
        <v>0.01</v>
      </c>
      <c r="C52" s="20"/>
      <c r="D52" s="6">
        <f>B52+C52</f>
        <v>0.01</v>
      </c>
      <c r="E52" s="20"/>
      <c r="F52" s="20"/>
      <c r="G52" s="6">
        <f>E52+F52</f>
        <v>0</v>
      </c>
      <c r="H52" s="46"/>
      <c r="I52" s="20"/>
      <c r="J52" s="6">
        <f>H52+I52</f>
        <v>0</v>
      </c>
      <c r="K52" s="46">
        <v>38506</v>
      </c>
      <c r="L52" s="20"/>
      <c r="M52" s="6">
        <f>K52+L52</f>
        <v>38506</v>
      </c>
      <c r="N52" s="6">
        <f>'Human Services 1150'!D52</f>
        <v>0</v>
      </c>
      <c r="O52" s="17">
        <f t="shared" si="4"/>
        <v>38506.01</v>
      </c>
      <c r="W52"/>
    </row>
    <row r="53" spans="1:23" s="6" customFormat="1" x14ac:dyDescent="0.25">
      <c r="A53" t="s">
        <v>35</v>
      </c>
      <c r="B53" s="20">
        <v>158398.53</v>
      </c>
      <c r="C53" s="20"/>
      <c r="D53" s="6">
        <f>B53+C53</f>
        <v>158398.53</v>
      </c>
      <c r="E53" s="20"/>
      <c r="F53" s="20"/>
      <c r="G53" s="6">
        <f>E53+F53</f>
        <v>0</v>
      </c>
      <c r="H53" s="46">
        <v>0.01</v>
      </c>
      <c r="I53" s="20"/>
      <c r="J53" s="6">
        <f>H53+I53</f>
        <v>0.01</v>
      </c>
      <c r="K53" s="46">
        <v>21177.87</v>
      </c>
      <c r="L53" s="20"/>
      <c r="M53" s="6">
        <f>K53+L53</f>
        <v>21177.87</v>
      </c>
      <c r="N53" s="6">
        <f>'Human Services 1150'!D53</f>
        <v>0</v>
      </c>
      <c r="O53" s="17">
        <f t="shared" si="4"/>
        <v>179576.41</v>
      </c>
      <c r="W53"/>
    </row>
    <row r="54" spans="1:23" s="6" customFormat="1" x14ac:dyDescent="0.25">
      <c r="A54" s="2" t="s">
        <v>36</v>
      </c>
      <c r="B54" s="6">
        <f>B51+B52-B53</f>
        <v>-158398.51999999999</v>
      </c>
      <c r="C54" s="6">
        <f>C51+C52-C53</f>
        <v>0</v>
      </c>
      <c r="D54" s="6">
        <f>B54+C54</f>
        <v>-158398.51999999999</v>
      </c>
      <c r="E54" s="6">
        <f>E51+E52-E53</f>
        <v>0</v>
      </c>
      <c r="F54" s="6">
        <f>F51+F52-F53</f>
        <v>0</v>
      </c>
      <c r="G54" s="6">
        <f>E54+F54</f>
        <v>0</v>
      </c>
      <c r="H54" s="43">
        <f>H51+H52-H53</f>
        <v>-0.01</v>
      </c>
      <c r="I54" s="6">
        <f>I51+I52-I53</f>
        <v>0</v>
      </c>
      <c r="J54" s="6">
        <f>H54+I54</f>
        <v>-0.01</v>
      </c>
      <c r="K54" s="43">
        <f>K51+K52-K53</f>
        <v>17328.13</v>
      </c>
      <c r="L54" s="6">
        <f>L51+L52-L53</f>
        <v>0</v>
      </c>
      <c r="M54" s="6">
        <f>K54+L54</f>
        <v>17328.13</v>
      </c>
      <c r="N54" s="6">
        <f>'Human Services 1150'!D54</f>
        <v>0</v>
      </c>
      <c r="O54" s="17">
        <f t="shared" si="4"/>
        <v>-141070.39999999999</v>
      </c>
      <c r="W54"/>
    </row>
    <row r="55" spans="1:23" s="6" customFormat="1" x14ac:dyDescent="0.25">
      <c r="A55"/>
      <c r="B55"/>
      <c r="C55"/>
      <c r="F55"/>
      <c r="H55" s="43"/>
      <c r="I55"/>
      <c r="K55" s="43"/>
      <c r="L55"/>
      <c r="O55" s="17"/>
      <c r="W55"/>
    </row>
    <row r="56" spans="1:23" s="6" customFormat="1" x14ac:dyDescent="0.25">
      <c r="A56" s="2" t="s">
        <v>37</v>
      </c>
      <c r="B56" s="6">
        <f t="shared" ref="B56:M56" si="17">B49+B54</f>
        <v>1.00000002712477E-2</v>
      </c>
      <c r="C56" s="6">
        <f t="shared" si="17"/>
        <v>0</v>
      </c>
      <c r="D56" s="6">
        <f t="shared" si="17"/>
        <v>1.00000002712477E-2</v>
      </c>
      <c r="E56" s="6">
        <f t="shared" si="17"/>
        <v>0</v>
      </c>
      <c r="F56" s="6">
        <f t="shared" si="17"/>
        <v>0</v>
      </c>
      <c r="G56" s="6">
        <f t="shared" si="17"/>
        <v>0</v>
      </c>
      <c r="H56" s="43">
        <f t="shared" si="17"/>
        <v>-0.01</v>
      </c>
      <c r="I56" s="6">
        <f t="shared" si="17"/>
        <v>0</v>
      </c>
      <c r="J56" s="6">
        <f t="shared" si="17"/>
        <v>-0.01</v>
      </c>
      <c r="K56" s="43">
        <f t="shared" si="17"/>
        <v>0</v>
      </c>
      <c r="L56" s="6">
        <f>L49+L54</f>
        <v>0</v>
      </c>
      <c r="M56" s="6">
        <f t="shared" si="17"/>
        <v>0</v>
      </c>
      <c r="N56" s="6">
        <f>'Human Services 1150'!D56</f>
        <v>0</v>
      </c>
      <c r="O56" s="17">
        <f t="shared" si="4"/>
        <v>2.712476996485913E-10</v>
      </c>
      <c r="W56"/>
    </row>
    <row r="57" spans="1:23" s="6" customFormat="1" x14ac:dyDescent="0.25">
      <c r="A57" t="s">
        <v>38</v>
      </c>
      <c r="B57" s="6">
        <f t="shared" ref="B57:M57" si="18">B58-B56</f>
        <v>0.43999999972875231</v>
      </c>
      <c r="C57" s="6">
        <f t="shared" si="18"/>
        <v>0</v>
      </c>
      <c r="D57" s="6">
        <f t="shared" si="18"/>
        <v>0.43999999972875231</v>
      </c>
      <c r="E57" s="6">
        <f t="shared" si="18"/>
        <v>0</v>
      </c>
      <c r="F57" s="6">
        <f t="shared" si="18"/>
        <v>0</v>
      </c>
      <c r="G57" s="6">
        <f t="shared" si="18"/>
        <v>0</v>
      </c>
      <c r="H57" s="43">
        <f t="shared" si="18"/>
        <v>0.01</v>
      </c>
      <c r="I57" s="6">
        <f t="shared" si="18"/>
        <v>0</v>
      </c>
      <c r="J57" s="6">
        <f t="shared" si="18"/>
        <v>0.01</v>
      </c>
      <c r="K57" s="43">
        <f t="shared" si="18"/>
        <v>0</v>
      </c>
      <c r="L57" s="6">
        <f t="shared" si="18"/>
        <v>0</v>
      </c>
      <c r="M57" s="6">
        <f t="shared" si="18"/>
        <v>0</v>
      </c>
      <c r="N57" s="6">
        <f>'Human Services 1150'!D57</f>
        <v>0.31999999999999318</v>
      </c>
      <c r="O57" s="17">
        <f t="shared" si="4"/>
        <v>0.76999999972874544</v>
      </c>
      <c r="W57"/>
    </row>
    <row r="58" spans="1:23" s="6" customFormat="1" x14ac:dyDescent="0.25">
      <c r="A58" s="2" t="s">
        <v>39</v>
      </c>
      <c r="B58" s="6">
        <f t="shared" ref="B58:M58" si="19">B28</f>
        <v>0.45</v>
      </c>
      <c r="C58" s="6">
        <f t="shared" si="19"/>
        <v>0</v>
      </c>
      <c r="D58" s="6">
        <f t="shared" si="19"/>
        <v>0.45</v>
      </c>
      <c r="E58" s="6">
        <f t="shared" si="19"/>
        <v>0</v>
      </c>
      <c r="F58" s="6">
        <f t="shared" si="19"/>
        <v>0</v>
      </c>
      <c r="G58" s="6">
        <f t="shared" si="19"/>
        <v>0</v>
      </c>
      <c r="H58" s="43">
        <f t="shared" si="19"/>
        <v>0</v>
      </c>
      <c r="I58" s="6">
        <f t="shared" si="19"/>
        <v>0</v>
      </c>
      <c r="J58" s="6">
        <f t="shared" si="19"/>
        <v>0</v>
      </c>
      <c r="K58" s="43">
        <f t="shared" si="19"/>
        <v>0</v>
      </c>
      <c r="L58" s="6">
        <f t="shared" si="19"/>
        <v>0</v>
      </c>
      <c r="M58" s="6">
        <f t="shared" si="19"/>
        <v>0</v>
      </c>
      <c r="N58" s="6">
        <f>'Human Services 1150'!D58</f>
        <v>0.31999999999999318</v>
      </c>
      <c r="O58" s="17">
        <f t="shared" si="4"/>
        <v>0.76999999999999313</v>
      </c>
      <c r="W58"/>
    </row>
  </sheetData>
  <sheetProtection sheet="1" objects="1" scenarios="1"/>
  <customSheetViews>
    <customSheetView guid="{E68B3865-8D72-47E7-BE32-0FF7EB09E889}" scale="80" fitToPage="1">
      <pane xSplit="1" ySplit="5" topLeftCell="B23" activePane="bottomRight" state="frozen"/>
      <selection pane="bottomRight" activeCell="N27" sqref="N27"/>
      <pageMargins left="0.7" right="0.7" top="0.75" bottom="0.75" header="0.3" footer="0.3"/>
      <pageSetup scale="54" orientation="landscape" horizontalDpi="1200" r:id="rId1"/>
    </customSheetView>
    <customSheetView guid="{DE6E911D-85BF-467A-AA00-1E84C5349CF7}" scale="80" fitToPage="1">
      <pane xSplit="1" ySplit="5" topLeftCell="B23" activePane="bottomRight" state="frozen"/>
      <selection pane="bottomRight" activeCell="N27" sqref="N27"/>
      <pageMargins left="0.7" right="0.7" top="0.75" bottom="0.75" header="0.3" footer="0.3"/>
      <pageSetup scale="54" orientation="landscape" horizontalDpi="1200" r:id="rId2"/>
    </customSheetView>
    <customSheetView guid="{A6F79E61-D6A3-44FD-B4A4-4724DF74349B}" showPageBreaks="1" fitToPage="1">
      <pane xSplit="1" ySplit="5" topLeftCell="B6" activePane="bottomRight" state="frozen"/>
      <selection pane="bottomRight" activeCell="L13" sqref="L13"/>
      <pageMargins left="0.7" right="0.7" top="0.75" bottom="0.75" header="0.3" footer="0.3"/>
      <pageSetup scale="58" orientation="landscape" horizontalDpi="1200" r:id="rId3"/>
    </customSheetView>
    <customSheetView guid="{EC03C3C8-7E57-47C6-8413-F484E8C46A0C}" showPageBreaks="1" fitToPage="1">
      <pane xSplit="1" ySplit="5" topLeftCell="B46" activePane="bottomRight" state="frozen"/>
      <selection pane="bottomRight" activeCell="B53" sqref="B53"/>
      <pageMargins left="0.7" right="0.7" top="0.75" bottom="0.75" header="0.3" footer="0.3"/>
      <pageSetup scale="57" orientation="landscape" horizontalDpi="1200" r:id="rId4"/>
    </customSheetView>
    <customSheetView guid="{2B2709E2-6DF4-4CC4-88D0-056FB306137C}" fitToPage="1">
      <pane xSplit="1" ySplit="5" topLeftCell="B6" activePane="bottomRight" state="frozen"/>
      <selection pane="bottomRight" activeCell="Q9" sqref="Q9"/>
      <pageMargins left="0.7" right="0.7" top="0.75" bottom="0.75" header="0.3" footer="0.3"/>
      <pageSetup scale="58" orientation="landscape" horizontalDpi="1200" r:id="rId5"/>
    </customSheetView>
  </customSheetViews>
  <pageMargins left="0.7" right="0.7" top="0.75" bottom="0.75" header="0.3" footer="0.3"/>
  <pageSetup scale="54" orientation="landscape" horizontalDpi="1200"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opLeftCell="A4" zoomScale="80" zoomScaleNormal="80" workbookViewId="0">
      <selection activeCell="B4" sqref="B1:D1048576"/>
    </sheetView>
  </sheetViews>
  <sheetFormatPr defaultRowHeight="15" outlineLevelCol="1" x14ac:dyDescent="0.25"/>
  <cols>
    <col min="1" max="1" width="31" customWidth="1"/>
    <col min="2" max="2" width="14.28515625" style="43" bestFit="1" customWidth="1" outlineLevel="1"/>
    <col min="3" max="3" width="12.7109375" style="6" customWidth="1" outlineLevel="1"/>
    <col min="4" max="4" width="13.5703125" style="6" bestFit="1" customWidth="1"/>
  </cols>
  <sheetData>
    <row r="1" spans="1:7" ht="23.25" x14ac:dyDescent="0.35">
      <c r="A1" s="5" t="s">
        <v>246</v>
      </c>
    </row>
    <row r="2" spans="1:7" x14ac:dyDescent="0.25">
      <c r="A2" t="s">
        <v>1</v>
      </c>
    </row>
    <row r="3" spans="1:7" x14ac:dyDescent="0.25">
      <c r="A3" s="1">
        <f>'Mental Retardation Funds'!A3</f>
        <v>43830</v>
      </c>
    </row>
    <row r="4" spans="1:7" x14ac:dyDescent="0.25">
      <c r="A4" s="1"/>
    </row>
    <row r="5" spans="1:7" ht="45" x14ac:dyDescent="0.25">
      <c r="A5" s="1"/>
      <c r="B5" s="44" t="s">
        <v>281</v>
      </c>
      <c r="C5" s="7" t="s">
        <v>47</v>
      </c>
      <c r="D5" s="7" t="s">
        <v>280</v>
      </c>
    </row>
    <row r="7" spans="1:7" x14ac:dyDescent="0.25">
      <c r="A7" s="3" t="s">
        <v>2</v>
      </c>
    </row>
    <row r="8" spans="1:7" x14ac:dyDescent="0.25">
      <c r="A8" s="4" t="s">
        <v>3</v>
      </c>
      <c r="B8" s="46">
        <v>-11109.26</v>
      </c>
      <c r="C8" s="20"/>
      <c r="D8" s="6">
        <f t="shared" ref="D8:D13" si="0">B8+C8</f>
        <v>-11109.26</v>
      </c>
      <c r="G8" s="60"/>
    </row>
    <row r="9" spans="1:7" x14ac:dyDescent="0.25">
      <c r="A9" s="4" t="s">
        <v>189</v>
      </c>
      <c r="B9" s="46"/>
      <c r="C9" s="20"/>
      <c r="D9" s="6">
        <f t="shared" si="0"/>
        <v>0</v>
      </c>
    </row>
    <row r="10" spans="1:7" x14ac:dyDescent="0.25">
      <c r="A10" s="4" t="s">
        <v>4</v>
      </c>
      <c r="B10" s="46">
        <v>14253</v>
      </c>
      <c r="C10" s="20">
        <v>380</v>
      </c>
      <c r="D10" s="6">
        <f t="shared" si="0"/>
        <v>14633</v>
      </c>
    </row>
    <row r="11" spans="1:7" x14ac:dyDescent="0.25">
      <c r="A11" s="4" t="s">
        <v>6</v>
      </c>
      <c r="B11" s="46"/>
      <c r="C11" s="20"/>
      <c r="D11" s="6">
        <f t="shared" si="0"/>
        <v>0</v>
      </c>
    </row>
    <row r="12" spans="1:7" x14ac:dyDescent="0.25">
      <c r="A12" s="4" t="s">
        <v>5</v>
      </c>
      <c r="B12" s="46"/>
      <c r="C12" s="20"/>
      <c r="D12" s="6">
        <f t="shared" si="0"/>
        <v>0</v>
      </c>
    </row>
    <row r="13" spans="1:7" x14ac:dyDescent="0.25">
      <c r="A13" s="4" t="s">
        <v>61</v>
      </c>
      <c r="B13" s="46"/>
      <c r="C13" s="20"/>
      <c r="D13" s="6">
        <f t="shared" si="0"/>
        <v>0</v>
      </c>
    </row>
    <row r="14" spans="1:7" x14ac:dyDescent="0.25">
      <c r="A14" s="2" t="s">
        <v>7</v>
      </c>
      <c r="B14" s="43">
        <f>SUM(B8:B13)</f>
        <v>3143.74</v>
      </c>
      <c r="C14" s="6">
        <f>SUM(C8:C13)</f>
        <v>380</v>
      </c>
      <c r="D14" s="6">
        <f>SUM(D8:D13)</f>
        <v>3523.74</v>
      </c>
    </row>
    <row r="16" spans="1:7" x14ac:dyDescent="0.25">
      <c r="A16" s="3" t="s">
        <v>8</v>
      </c>
    </row>
    <row r="17" spans="1:4" x14ac:dyDescent="0.25">
      <c r="A17" s="4" t="s">
        <v>9</v>
      </c>
      <c r="B17" s="46">
        <v>447.8</v>
      </c>
      <c r="C17" s="20"/>
      <c r="D17" s="6">
        <f>B17+C17</f>
        <v>447.8</v>
      </c>
    </row>
    <row r="18" spans="1:4" x14ac:dyDescent="0.25">
      <c r="A18" s="4" t="s">
        <v>10</v>
      </c>
      <c r="B18" s="46">
        <v>2800.63</v>
      </c>
      <c r="C18" s="20"/>
      <c r="D18" s="6">
        <f>B18+C18</f>
        <v>2800.63</v>
      </c>
    </row>
    <row r="19" spans="1:4" x14ac:dyDescent="0.25">
      <c r="A19" s="4" t="s">
        <v>190</v>
      </c>
      <c r="B19" s="46"/>
      <c r="C19" s="20"/>
      <c r="D19" s="6">
        <f>B19+C19</f>
        <v>0</v>
      </c>
    </row>
    <row r="20" spans="1:4" x14ac:dyDescent="0.25">
      <c r="A20" s="4" t="s">
        <v>11</v>
      </c>
      <c r="B20" s="46"/>
      <c r="C20" s="20"/>
      <c r="D20" s="6">
        <f>B20+C20</f>
        <v>0</v>
      </c>
    </row>
    <row r="21" spans="1:4" x14ac:dyDescent="0.25">
      <c r="A21" s="4" t="s">
        <v>12</v>
      </c>
      <c r="B21" s="46">
        <v>274.99</v>
      </c>
      <c r="C21" s="20"/>
      <c r="D21" s="6">
        <f>B21+C21</f>
        <v>274.99</v>
      </c>
    </row>
    <row r="22" spans="1:4" x14ac:dyDescent="0.25">
      <c r="A22" s="2" t="s">
        <v>13</v>
      </c>
      <c r="B22" s="43">
        <f>SUM(B17:B21)</f>
        <v>3523.42</v>
      </c>
      <c r="C22" s="6">
        <f>SUM(C17:C21)</f>
        <v>0</v>
      </c>
      <c r="D22" s="6">
        <f>SUM(D17:D21)</f>
        <v>3523.42</v>
      </c>
    </row>
    <row r="24" spans="1:4" x14ac:dyDescent="0.25">
      <c r="A24" s="3" t="s">
        <v>14</v>
      </c>
    </row>
    <row r="25" spans="1:4" x14ac:dyDescent="0.25">
      <c r="A25" s="4" t="s">
        <v>15</v>
      </c>
      <c r="B25" s="46">
        <v>255.57</v>
      </c>
      <c r="C25" s="20"/>
      <c r="D25" s="6">
        <f>B25+C25</f>
        <v>255.57</v>
      </c>
    </row>
    <row r="26" spans="1:4" x14ac:dyDescent="0.25">
      <c r="A26" s="4" t="s">
        <v>16</v>
      </c>
      <c r="B26" s="46"/>
      <c r="C26" s="20"/>
      <c r="D26" s="6">
        <f>B26+C26</f>
        <v>0</v>
      </c>
    </row>
    <row r="27" spans="1:4" x14ac:dyDescent="0.25">
      <c r="A27" s="4" t="s">
        <v>17</v>
      </c>
      <c r="B27" s="46">
        <v>-635.25</v>
      </c>
      <c r="C27" s="20">
        <v>380</v>
      </c>
      <c r="D27" s="6">
        <f>B27+C27</f>
        <v>-255.25</v>
      </c>
    </row>
    <row r="28" spans="1:4" x14ac:dyDescent="0.25">
      <c r="A28" s="2" t="s">
        <v>18</v>
      </c>
      <c r="B28" s="43">
        <f>SUM(B25:B27)</f>
        <v>-379.68</v>
      </c>
      <c r="C28" s="6">
        <f>SUM(C25:C27)</f>
        <v>380</v>
      </c>
      <c r="D28" s="6">
        <f>SUM(D25:D27)</f>
        <v>0.31999999999999318</v>
      </c>
    </row>
    <row r="30" spans="1:4" x14ac:dyDescent="0.25">
      <c r="A30" s="2" t="s">
        <v>19</v>
      </c>
      <c r="B30" s="43">
        <f>B22+B28</f>
        <v>3143.7400000000002</v>
      </c>
      <c r="C30" s="6">
        <f>C22+C28</f>
        <v>380</v>
      </c>
      <c r="D30" s="6">
        <f>D22+D28</f>
        <v>3523.7400000000002</v>
      </c>
    </row>
    <row r="32" spans="1:4" x14ac:dyDescent="0.25">
      <c r="A32" s="3" t="s">
        <v>20</v>
      </c>
    </row>
    <row r="33" spans="1:4" x14ac:dyDescent="0.25">
      <c r="A33" s="4" t="s">
        <v>21</v>
      </c>
      <c r="B33" s="46">
        <f>-274.99+87131</f>
        <v>86856.01</v>
      </c>
      <c r="C33" s="20"/>
      <c r="D33" s="6">
        <f>B33+C33</f>
        <v>86856.01</v>
      </c>
    </row>
    <row r="34" spans="1:4" x14ac:dyDescent="0.25">
      <c r="A34" s="4" t="s">
        <v>22</v>
      </c>
      <c r="B34" s="46"/>
      <c r="C34" s="20"/>
      <c r="D34" s="6">
        <f>B34+C34</f>
        <v>0</v>
      </c>
    </row>
    <row r="35" spans="1:4" x14ac:dyDescent="0.25">
      <c r="A35" s="4" t="s">
        <v>201</v>
      </c>
      <c r="B35" s="46"/>
      <c r="C35" s="20"/>
      <c r="D35" s="6">
        <f>B35+C35</f>
        <v>0</v>
      </c>
    </row>
    <row r="36" spans="1:4" x14ac:dyDescent="0.25">
      <c r="A36" s="4" t="s">
        <v>23</v>
      </c>
      <c r="B36" s="46"/>
      <c r="C36" s="20"/>
      <c r="D36" s="6">
        <f>B36+C36</f>
        <v>0</v>
      </c>
    </row>
    <row r="37" spans="1:4" x14ac:dyDescent="0.25">
      <c r="A37" s="4" t="s">
        <v>24</v>
      </c>
      <c r="B37" s="46"/>
      <c r="C37" s="20"/>
      <c r="D37" s="6">
        <f>B37+C37</f>
        <v>0</v>
      </c>
    </row>
    <row r="38" spans="1:4" x14ac:dyDescent="0.25">
      <c r="A38" s="2" t="s">
        <v>25</v>
      </c>
      <c r="B38" s="43">
        <f>SUM(B33:B37)</f>
        <v>86856.01</v>
      </c>
      <c r="C38" s="6">
        <f>SUM(C33:C37)</f>
        <v>0</v>
      </c>
      <c r="D38" s="6">
        <f>SUM(D33:D37)</f>
        <v>86856.01</v>
      </c>
    </row>
    <row r="40" spans="1:4" x14ac:dyDescent="0.25">
      <c r="A40" s="3" t="s">
        <v>26</v>
      </c>
    </row>
    <row r="41" spans="1:4" x14ac:dyDescent="0.25">
      <c r="A41" s="4" t="s">
        <v>27</v>
      </c>
      <c r="B41" s="74"/>
      <c r="C41" s="20"/>
      <c r="D41" s="6">
        <f t="shared" ref="D41:D46" si="1">B41+C41</f>
        <v>0</v>
      </c>
    </row>
    <row r="42" spans="1:4" x14ac:dyDescent="0.25">
      <c r="A42" s="4" t="s">
        <v>28</v>
      </c>
      <c r="B42" s="74"/>
      <c r="C42" s="20"/>
      <c r="D42" s="6">
        <f t="shared" si="1"/>
        <v>0</v>
      </c>
    </row>
    <row r="43" spans="1:4" x14ac:dyDescent="0.25">
      <c r="A43" s="4" t="s">
        <v>29</v>
      </c>
      <c r="B43" s="74"/>
      <c r="C43" s="20"/>
      <c r="D43" s="6">
        <f t="shared" si="1"/>
        <v>0</v>
      </c>
    </row>
    <row r="44" spans="1:4" x14ac:dyDescent="0.25">
      <c r="A44" s="4" t="s">
        <v>30</v>
      </c>
      <c r="B44" s="74"/>
      <c r="C44" s="20"/>
      <c r="D44" s="6">
        <f t="shared" si="1"/>
        <v>0</v>
      </c>
    </row>
    <row r="45" spans="1:4" x14ac:dyDescent="0.25">
      <c r="A45" s="4" t="s">
        <v>31</v>
      </c>
      <c r="B45" s="46">
        <v>86856.01</v>
      </c>
      <c r="C45" s="20">
        <f>380-380</f>
        <v>0</v>
      </c>
      <c r="D45" s="6">
        <f t="shared" si="1"/>
        <v>86856.01</v>
      </c>
    </row>
    <row r="46" spans="1:4" x14ac:dyDescent="0.25">
      <c r="A46" s="4" t="s">
        <v>62</v>
      </c>
      <c r="B46" s="74"/>
      <c r="C46" s="20"/>
      <c r="D46" s="6">
        <f t="shared" si="1"/>
        <v>0</v>
      </c>
    </row>
    <row r="47" spans="1:4" x14ac:dyDescent="0.25">
      <c r="A47" s="2" t="s">
        <v>32</v>
      </c>
      <c r="B47" s="43">
        <f>SUM(B41:B46)</f>
        <v>86856.01</v>
      </c>
      <c r="C47" s="6">
        <f>SUM(C41:C46)</f>
        <v>0</v>
      </c>
      <c r="D47" s="6">
        <f>SUM(D41:D46)</f>
        <v>86856.01</v>
      </c>
    </row>
    <row r="49" spans="1:4" x14ac:dyDescent="0.25">
      <c r="A49" s="2" t="s">
        <v>33</v>
      </c>
      <c r="B49" s="43">
        <f>B38-B47</f>
        <v>0</v>
      </c>
      <c r="C49" s="43">
        <f>C38-C47</f>
        <v>0</v>
      </c>
      <c r="D49" s="6">
        <f>D38-D47</f>
        <v>0</v>
      </c>
    </row>
    <row r="50" spans="1:4" x14ac:dyDescent="0.25">
      <c r="A50" s="2"/>
    </row>
    <row r="51" spans="1:4" x14ac:dyDescent="0.25">
      <c r="A51" s="34" t="s">
        <v>299</v>
      </c>
      <c r="B51" s="46"/>
      <c r="C51" s="20"/>
      <c r="D51" s="6">
        <f>B51+C51</f>
        <v>0</v>
      </c>
    </row>
    <row r="52" spans="1:4" x14ac:dyDescent="0.25">
      <c r="A52" t="s">
        <v>34</v>
      </c>
      <c r="B52" s="46"/>
      <c r="C52" s="20"/>
      <c r="D52" s="6">
        <f>B52+C52</f>
        <v>0</v>
      </c>
    </row>
    <row r="53" spans="1:4" x14ac:dyDescent="0.25">
      <c r="A53" t="s">
        <v>35</v>
      </c>
      <c r="B53" s="46"/>
      <c r="C53" s="20"/>
      <c r="D53" s="6">
        <f>B53+C53</f>
        <v>0</v>
      </c>
    </row>
    <row r="54" spans="1:4" x14ac:dyDescent="0.25">
      <c r="A54" s="2" t="s">
        <v>36</v>
      </c>
      <c r="B54" s="43">
        <f>B51+B52-B53</f>
        <v>0</v>
      </c>
      <c r="C54" s="6">
        <f>C51+C52-C53</f>
        <v>0</v>
      </c>
      <c r="D54" s="6">
        <f>D52-D53</f>
        <v>0</v>
      </c>
    </row>
    <row r="55" spans="1:4" x14ac:dyDescent="0.25">
      <c r="C55"/>
    </row>
    <row r="56" spans="1:4" x14ac:dyDescent="0.25">
      <c r="A56" s="2" t="s">
        <v>37</v>
      </c>
      <c r="B56" s="43">
        <f>B49+B54</f>
        <v>0</v>
      </c>
      <c r="C56" s="6">
        <f>C49+C54</f>
        <v>0</v>
      </c>
      <c r="D56" s="6">
        <f>D49+D54</f>
        <v>0</v>
      </c>
    </row>
    <row r="57" spans="1:4" x14ac:dyDescent="0.25">
      <c r="A57" t="s">
        <v>38</v>
      </c>
      <c r="B57" s="43">
        <f>B58-B56</f>
        <v>-379.68</v>
      </c>
      <c r="C57" s="6">
        <f>C58-C56</f>
        <v>380</v>
      </c>
      <c r="D57" s="6">
        <f>D58-D56</f>
        <v>0.31999999999999318</v>
      </c>
    </row>
    <row r="58" spans="1:4" x14ac:dyDescent="0.25">
      <c r="A58" s="2" t="s">
        <v>39</v>
      </c>
      <c r="B58" s="43">
        <f>B28</f>
        <v>-379.68</v>
      </c>
      <c r="C58" s="6">
        <f>C28</f>
        <v>380</v>
      </c>
      <c r="D58" s="6">
        <f>D28</f>
        <v>0.31999999999999318</v>
      </c>
    </row>
  </sheetData>
  <sheetProtection sheet="1" objects="1" scenarios="1"/>
  <customSheetViews>
    <customSheetView guid="{E68B3865-8D72-47E7-BE32-0FF7EB09E889}" scale="80" fitToPage="1" topLeftCell="A4">
      <selection activeCell="B4" sqref="B1:D1048576"/>
      <pageMargins left="0.75" right="0.75" top="1" bottom="1" header="0.5" footer="0.5"/>
      <pageSetup scale="73" orientation="portrait" r:id="rId1"/>
      <headerFooter alignWithMargins="0"/>
    </customSheetView>
    <customSheetView guid="{DE6E911D-85BF-467A-AA00-1E84C5349CF7}" scale="80" fitToPage="1" topLeftCell="A4">
      <selection activeCell="B4" sqref="B1:D1048576"/>
      <pageMargins left="0.75" right="0.75" top="1" bottom="1" header="0.5" footer="0.5"/>
      <pageSetup scale="73" orientation="portrait" r:id="rId2"/>
      <headerFooter alignWithMargins="0"/>
    </customSheetView>
    <customSheetView guid="{A6F79E61-D6A3-44FD-B4A4-4724DF74349B}" showPageBreaks="1" fitToPage="1">
      <selection activeCell="J30" sqref="J30"/>
      <pageMargins left="0.75" right="0.75" top="1" bottom="1" header="0.5" footer="0.5"/>
      <pageSetup scale="74" orientation="portrait" r:id="rId3"/>
      <headerFooter alignWithMargins="0"/>
    </customSheetView>
    <customSheetView guid="{EC03C3C8-7E57-47C6-8413-F484E8C46A0C}" showPageBreaks="1" fitToPage="1" topLeftCell="A34">
      <selection activeCell="A50" sqref="A50"/>
      <pageMargins left="0.75" right="0.75" top="1" bottom="1" header="0.5" footer="0.5"/>
      <pageSetup scale="74" orientation="portrait" r:id="rId4"/>
      <headerFooter alignWithMargins="0"/>
    </customSheetView>
    <customSheetView guid="{2B2709E2-6DF4-4CC4-88D0-056FB306137C}" fitToPage="1">
      <selection activeCell="B46" sqref="B46"/>
      <pageMargins left="0.75" right="0.75" top="1" bottom="1" header="0.5" footer="0.5"/>
      <pageSetup scale="76" orientation="portrait" r:id="rId5"/>
      <headerFooter alignWithMargins="0"/>
    </customSheetView>
  </customSheetViews>
  <pageMargins left="0.75" right="0.75" top="1" bottom="1" header="0.5" footer="0.5"/>
  <pageSetup scale="73" orientation="portrait" r:id="rId6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9" sqref="F9"/>
    </sheetView>
  </sheetViews>
  <sheetFormatPr defaultRowHeight="15" outlineLevelCol="1" x14ac:dyDescent="0.25"/>
  <cols>
    <col min="1" max="1" width="31" customWidth="1"/>
    <col min="2" max="2" width="12.7109375" style="6" bestFit="1" customWidth="1" outlineLevel="1"/>
    <col min="3" max="3" width="13.5703125" style="6" bestFit="1" customWidth="1" outlineLevel="1"/>
    <col min="4" max="4" width="13.5703125" style="6" bestFit="1" customWidth="1"/>
    <col min="5" max="5" width="19.140625" style="43" customWidth="1" outlineLevel="1"/>
    <col min="6" max="6" width="13.5703125" style="6" bestFit="1" customWidth="1" outlineLevel="1"/>
    <col min="7" max="7" width="13.5703125" style="6" bestFit="1" customWidth="1"/>
    <col min="8" max="8" width="17.5703125" style="6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88</v>
      </c>
    </row>
    <row r="2" spans="1:15" x14ac:dyDescent="0.25">
      <c r="A2" t="s">
        <v>1</v>
      </c>
    </row>
    <row r="3" spans="1:15" x14ac:dyDescent="0.25">
      <c r="A3" s="1">
        <f>'Airport Funds'!A3</f>
        <v>43830</v>
      </c>
    </row>
    <row r="4" spans="1:15" x14ac:dyDescent="0.25">
      <c r="A4" s="1"/>
    </row>
    <row r="5" spans="1:15" ht="30" x14ac:dyDescent="0.25">
      <c r="A5" s="1"/>
      <c r="B5" s="7" t="s">
        <v>85</v>
      </c>
      <c r="C5" s="7" t="s">
        <v>47</v>
      </c>
      <c r="D5" s="7" t="s">
        <v>87</v>
      </c>
      <c r="E5" s="44" t="s">
        <v>86</v>
      </c>
      <c r="F5" s="7" t="s">
        <v>47</v>
      </c>
      <c r="G5" s="7" t="s">
        <v>87</v>
      </c>
      <c r="H5" s="24" t="s">
        <v>238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20">
        <v>-830.09</v>
      </c>
      <c r="C8" s="20"/>
      <c r="D8" s="6">
        <f>B8+C8</f>
        <v>-830.09</v>
      </c>
      <c r="E8" s="46">
        <v>-122616.82</v>
      </c>
      <c r="F8" s="20">
        <f>58198+57</f>
        <v>58255</v>
      </c>
      <c r="G8" s="49">
        <f t="shared" ref="G8:G13" si="0">E8+F8</f>
        <v>-64361.820000000007</v>
      </c>
      <c r="H8" s="6">
        <f t="shared" ref="H8:H55" si="1">D8+G8</f>
        <v>-65191.91</v>
      </c>
    </row>
    <row r="9" spans="1:15" x14ac:dyDescent="0.25">
      <c r="A9" s="4" t="s">
        <v>4</v>
      </c>
      <c r="B9" s="20"/>
      <c r="C9" s="20"/>
      <c r="D9" s="6">
        <f t="shared" ref="D9:D51" si="2">B9+C9</f>
        <v>0</v>
      </c>
      <c r="E9" s="46">
        <f>122877.76-122877.76</f>
        <v>0</v>
      </c>
      <c r="F9" s="20"/>
      <c r="G9" s="6">
        <f t="shared" si="0"/>
        <v>0</v>
      </c>
      <c r="H9" s="6">
        <f t="shared" si="1"/>
        <v>0</v>
      </c>
    </row>
    <row r="10" spans="1:15" x14ac:dyDescent="0.25">
      <c r="A10" s="4" t="s">
        <v>6</v>
      </c>
      <c r="B10" s="20">
        <f>569-569</f>
        <v>0</v>
      </c>
      <c r="C10" s="20"/>
      <c r="D10" s="6">
        <f t="shared" si="2"/>
        <v>0</v>
      </c>
      <c r="E10" s="46"/>
      <c r="F10" s="20"/>
      <c r="G10" s="6">
        <f t="shared" si="0"/>
        <v>0</v>
      </c>
      <c r="H10" s="6">
        <f t="shared" si="1"/>
        <v>0</v>
      </c>
    </row>
    <row r="11" spans="1:15" x14ac:dyDescent="0.25">
      <c r="A11" s="4" t="s">
        <v>5</v>
      </c>
      <c r="B11" s="20">
        <v>569</v>
      </c>
      <c r="C11" s="20"/>
      <c r="D11" s="6">
        <f t="shared" si="2"/>
        <v>569</v>
      </c>
      <c r="E11" s="46">
        <v>122877.75999999999</v>
      </c>
      <c r="F11" s="20"/>
      <c r="G11" s="6">
        <f t="shared" si="0"/>
        <v>122877.75999999999</v>
      </c>
      <c r="H11" s="6">
        <f t="shared" si="1"/>
        <v>123446.76</v>
      </c>
    </row>
    <row r="12" spans="1:15" x14ac:dyDescent="0.25">
      <c r="A12" s="4" t="s">
        <v>61</v>
      </c>
      <c r="B12" s="20"/>
      <c r="C12" s="20"/>
      <c r="D12" s="6">
        <f t="shared" si="2"/>
        <v>0</v>
      </c>
      <c r="E12" s="46"/>
      <c r="F12" s="20"/>
      <c r="G12" s="6">
        <f t="shared" si="0"/>
        <v>0</v>
      </c>
      <c r="H12" s="6">
        <f t="shared" si="1"/>
        <v>0</v>
      </c>
    </row>
    <row r="13" spans="1:15" x14ac:dyDescent="0.25">
      <c r="A13" s="2" t="s">
        <v>7</v>
      </c>
      <c r="B13" s="6">
        <f>SUM(B8:B12)</f>
        <v>-261.09000000000003</v>
      </c>
      <c r="C13" s="6">
        <f>SUM(C8:C12)</f>
        <v>0</v>
      </c>
      <c r="D13" s="6">
        <f t="shared" si="2"/>
        <v>-261.09000000000003</v>
      </c>
      <c r="E13" s="43">
        <f>SUM(E8:E12)</f>
        <v>260.93999999998778</v>
      </c>
      <c r="F13" s="6">
        <f>SUM(F8:F12)</f>
        <v>58255</v>
      </c>
      <c r="G13" s="6">
        <f t="shared" si="0"/>
        <v>58515.939999999988</v>
      </c>
      <c r="H13" s="6">
        <f t="shared" si="1"/>
        <v>58254.849999999991</v>
      </c>
    </row>
    <row r="15" spans="1:15" x14ac:dyDescent="0.25">
      <c r="A15" s="3" t="s">
        <v>8</v>
      </c>
    </row>
    <row r="16" spans="1:15" x14ac:dyDescent="0.25">
      <c r="A16" s="4" t="s">
        <v>9</v>
      </c>
      <c r="B16" s="20"/>
      <c r="C16" s="20"/>
      <c r="D16" s="6">
        <f t="shared" si="2"/>
        <v>0</v>
      </c>
      <c r="E16" s="46"/>
      <c r="F16" s="20"/>
      <c r="G16" s="6">
        <f>E16+F16</f>
        <v>0</v>
      </c>
      <c r="H16" s="6">
        <f t="shared" si="1"/>
        <v>0</v>
      </c>
    </row>
    <row r="17" spans="1:8" x14ac:dyDescent="0.25">
      <c r="A17" s="4" t="s">
        <v>10</v>
      </c>
      <c r="B17" s="20"/>
      <c r="C17" s="20"/>
      <c r="D17" s="6">
        <f t="shared" si="2"/>
        <v>0</v>
      </c>
      <c r="E17" s="46"/>
      <c r="F17" s="20"/>
      <c r="G17" s="6">
        <f>E17+F17</f>
        <v>0</v>
      </c>
      <c r="H17" s="6">
        <f t="shared" si="1"/>
        <v>0</v>
      </c>
    </row>
    <row r="18" spans="1:8" x14ac:dyDescent="0.25">
      <c r="A18" s="4" t="s">
        <v>190</v>
      </c>
      <c r="B18" s="20"/>
      <c r="C18" s="20"/>
      <c r="D18" s="6">
        <f t="shared" si="2"/>
        <v>0</v>
      </c>
      <c r="E18" s="46"/>
      <c r="F18" s="20"/>
      <c r="G18" s="6">
        <f>E18+F18</f>
        <v>0</v>
      </c>
      <c r="H18" s="6">
        <f t="shared" si="1"/>
        <v>0</v>
      </c>
    </row>
    <row r="19" spans="1:8" x14ac:dyDescent="0.25">
      <c r="A19" s="4" t="s">
        <v>12</v>
      </c>
      <c r="B19" s="20"/>
      <c r="C19" s="20"/>
      <c r="D19" s="6">
        <f t="shared" si="2"/>
        <v>0</v>
      </c>
      <c r="E19" s="46"/>
      <c r="F19" s="20"/>
      <c r="G19" s="6">
        <f>E19+F19</f>
        <v>0</v>
      </c>
      <c r="H19" s="6">
        <f t="shared" si="1"/>
        <v>0</v>
      </c>
    </row>
    <row r="20" spans="1:8" x14ac:dyDescent="0.25">
      <c r="A20" s="2" t="s">
        <v>13</v>
      </c>
      <c r="B20" s="6">
        <f>SUM(B16:B19)</f>
        <v>0</v>
      </c>
      <c r="C20" s="6">
        <f>SUM(C16:C19)</f>
        <v>0</v>
      </c>
      <c r="D20" s="6">
        <f t="shared" si="2"/>
        <v>0</v>
      </c>
      <c r="E20" s="43">
        <f>SUM(E16:E19)</f>
        <v>0</v>
      </c>
      <c r="F20" s="6">
        <f>SUM(F16:F19)</f>
        <v>0</v>
      </c>
      <c r="G20" s="6">
        <f>E20+F20</f>
        <v>0</v>
      </c>
      <c r="H20" s="6">
        <f t="shared" si="1"/>
        <v>0</v>
      </c>
    </row>
    <row r="22" spans="1:8" x14ac:dyDescent="0.25">
      <c r="A22" s="3" t="s">
        <v>14</v>
      </c>
      <c r="H22" s="6">
        <f t="shared" si="1"/>
        <v>0</v>
      </c>
    </row>
    <row r="23" spans="1:8" x14ac:dyDescent="0.25">
      <c r="A23" s="4" t="s">
        <v>15</v>
      </c>
      <c r="B23" s="20"/>
      <c r="C23" s="20"/>
      <c r="D23" s="6">
        <f t="shared" si="2"/>
        <v>0</v>
      </c>
      <c r="E23" s="46"/>
      <c r="F23" s="20"/>
      <c r="G23" s="6">
        <f>E23+F23</f>
        <v>0</v>
      </c>
      <c r="H23" s="6">
        <f t="shared" si="1"/>
        <v>0</v>
      </c>
    </row>
    <row r="24" spans="1:8" x14ac:dyDescent="0.25">
      <c r="A24" s="4" t="s">
        <v>16</v>
      </c>
      <c r="B24" s="20"/>
      <c r="C24" s="20"/>
      <c r="D24" s="6">
        <f t="shared" si="2"/>
        <v>0</v>
      </c>
      <c r="E24" s="46"/>
      <c r="F24" s="20"/>
      <c r="G24" s="6">
        <f>E24+F24</f>
        <v>0</v>
      </c>
      <c r="H24" s="6">
        <f t="shared" si="1"/>
        <v>0</v>
      </c>
    </row>
    <row r="25" spans="1:8" x14ac:dyDescent="0.25">
      <c r="A25" s="4" t="s">
        <v>17</v>
      </c>
      <c r="B25" s="20">
        <v>-261.08999999999997</v>
      </c>
      <c r="C25" s="20"/>
      <c r="D25" s="6">
        <f t="shared" si="2"/>
        <v>-261.08999999999997</v>
      </c>
      <c r="E25" s="46">
        <v>260.94</v>
      </c>
      <c r="F25" s="20">
        <f>58198+57</f>
        <v>58255</v>
      </c>
      <c r="G25" s="6">
        <f>E25+F25</f>
        <v>58515.94</v>
      </c>
      <c r="H25" s="6">
        <f t="shared" si="1"/>
        <v>58254.850000000006</v>
      </c>
    </row>
    <row r="26" spans="1:8" x14ac:dyDescent="0.25">
      <c r="A26" s="2" t="s">
        <v>18</v>
      </c>
      <c r="B26" s="6">
        <f>SUM(B23:B25)</f>
        <v>-261.08999999999997</v>
      </c>
      <c r="C26" s="6">
        <f>SUM(C23:C25)</f>
        <v>0</v>
      </c>
      <c r="D26" s="6">
        <f t="shared" si="2"/>
        <v>-261.08999999999997</v>
      </c>
      <c r="E26" s="43">
        <f>SUM(E23:E25)</f>
        <v>260.94</v>
      </c>
      <c r="F26" s="6">
        <f>SUM(F23:F25)</f>
        <v>58255</v>
      </c>
      <c r="G26" s="6">
        <f>SUM(G23:G25)</f>
        <v>58515.94</v>
      </c>
      <c r="H26" s="6">
        <f t="shared" si="1"/>
        <v>58254.850000000006</v>
      </c>
    </row>
    <row r="28" spans="1:8" x14ac:dyDescent="0.25">
      <c r="A28" s="2" t="s">
        <v>19</v>
      </c>
      <c r="B28" s="6">
        <f>B20+B26</f>
        <v>-261.08999999999997</v>
      </c>
      <c r="C28" s="6">
        <f>C20+C26</f>
        <v>0</v>
      </c>
      <c r="D28" s="6">
        <f t="shared" si="2"/>
        <v>-261.08999999999997</v>
      </c>
      <c r="E28" s="43">
        <f>E20+E26</f>
        <v>260.94</v>
      </c>
      <c r="F28" s="6">
        <f>F20+F26</f>
        <v>58255</v>
      </c>
      <c r="G28" s="6">
        <f>G20+G26</f>
        <v>58515.94</v>
      </c>
      <c r="H28" s="6">
        <f t="shared" si="1"/>
        <v>58254.850000000006</v>
      </c>
    </row>
    <row r="30" spans="1:8" x14ac:dyDescent="0.25">
      <c r="A30" s="3" t="s">
        <v>20</v>
      </c>
      <c r="E30" s="48"/>
      <c r="F30" s="25"/>
    </row>
    <row r="31" spans="1:8" x14ac:dyDescent="0.25">
      <c r="A31" s="4" t="s">
        <v>21</v>
      </c>
      <c r="B31" s="20"/>
      <c r="C31" s="20"/>
      <c r="D31" s="6">
        <f t="shared" si="2"/>
        <v>0</v>
      </c>
      <c r="E31" s="46">
        <v>382963.52</v>
      </c>
      <c r="F31" s="20">
        <f>39209.94+18988.06+57</f>
        <v>58255</v>
      </c>
      <c r="G31" s="6">
        <f>E31+F31</f>
        <v>441218.52</v>
      </c>
      <c r="H31" s="6">
        <f t="shared" si="1"/>
        <v>441218.52</v>
      </c>
    </row>
    <row r="32" spans="1:8" x14ac:dyDescent="0.25">
      <c r="A32" s="4" t="s">
        <v>22</v>
      </c>
      <c r="B32" s="20"/>
      <c r="C32" s="20"/>
      <c r="D32" s="6">
        <f t="shared" si="2"/>
        <v>0</v>
      </c>
      <c r="E32" s="46"/>
      <c r="F32" s="20"/>
      <c r="G32" s="6">
        <f>E32+F32</f>
        <v>0</v>
      </c>
      <c r="H32" s="6">
        <f t="shared" si="1"/>
        <v>0</v>
      </c>
    </row>
    <row r="33" spans="1:8" x14ac:dyDescent="0.25">
      <c r="A33" s="4" t="s">
        <v>23</v>
      </c>
      <c r="B33" s="20"/>
      <c r="C33" s="20"/>
      <c r="D33" s="6">
        <f t="shared" si="2"/>
        <v>0</v>
      </c>
      <c r="E33" s="46">
        <v>21.16</v>
      </c>
      <c r="F33" s="20"/>
      <c r="G33" s="6">
        <f>E33+F33</f>
        <v>21.16</v>
      </c>
      <c r="H33" s="6">
        <f t="shared" si="1"/>
        <v>21.16</v>
      </c>
    </row>
    <row r="34" spans="1:8" x14ac:dyDescent="0.25">
      <c r="A34" s="4" t="s">
        <v>24</v>
      </c>
      <c r="B34" s="20"/>
      <c r="C34" s="20"/>
      <c r="D34" s="6">
        <f t="shared" si="2"/>
        <v>0</v>
      </c>
      <c r="E34" s="46"/>
      <c r="F34" s="20"/>
      <c r="G34" s="6">
        <f>E34+F34</f>
        <v>0</v>
      </c>
      <c r="H34" s="6">
        <f t="shared" si="1"/>
        <v>0</v>
      </c>
    </row>
    <row r="35" spans="1:8" x14ac:dyDescent="0.25">
      <c r="A35" s="2" t="s">
        <v>25</v>
      </c>
      <c r="B35" s="6">
        <f>SUM(B31:B34)</f>
        <v>0</v>
      </c>
      <c r="C35" s="6">
        <f>SUM(C31:C34)</f>
        <v>0</v>
      </c>
      <c r="D35" s="6">
        <f t="shared" si="2"/>
        <v>0</v>
      </c>
      <c r="E35" s="43">
        <f>SUM(E31:E34)</f>
        <v>382984.68</v>
      </c>
      <c r="F35" s="6">
        <f>SUM(F31:F34)</f>
        <v>58255</v>
      </c>
      <c r="G35" s="6">
        <f>SUM(G31:G34)</f>
        <v>441239.68</v>
      </c>
      <c r="H35" s="6">
        <f t="shared" si="1"/>
        <v>441239.68</v>
      </c>
    </row>
    <row r="37" spans="1:8" x14ac:dyDescent="0.25">
      <c r="A37" s="3" t="s">
        <v>26</v>
      </c>
    </row>
    <row r="38" spans="1:8" x14ac:dyDescent="0.25">
      <c r="A38" s="4" t="s">
        <v>27</v>
      </c>
      <c r="B38" s="55"/>
      <c r="C38" s="20"/>
      <c r="D38" s="6">
        <f t="shared" si="2"/>
        <v>0</v>
      </c>
      <c r="E38" s="74"/>
      <c r="F38" s="20"/>
      <c r="G38" s="6">
        <f t="shared" ref="G38:G44" si="3">E38+F38</f>
        <v>0</v>
      </c>
      <c r="H38" s="6">
        <f t="shared" si="1"/>
        <v>0</v>
      </c>
    </row>
    <row r="39" spans="1:8" x14ac:dyDescent="0.25">
      <c r="A39" s="4" t="s">
        <v>28</v>
      </c>
      <c r="B39" s="55"/>
      <c r="C39" s="20"/>
      <c r="D39" s="6">
        <f t="shared" si="2"/>
        <v>0</v>
      </c>
      <c r="E39" s="74"/>
      <c r="F39" s="20"/>
      <c r="G39" s="6">
        <f t="shared" si="3"/>
        <v>0</v>
      </c>
      <c r="H39" s="6">
        <f t="shared" si="1"/>
        <v>0</v>
      </c>
    </row>
    <row r="40" spans="1:8" x14ac:dyDescent="0.25">
      <c r="A40" s="4" t="s">
        <v>29</v>
      </c>
      <c r="B40" s="55"/>
      <c r="C40" s="20"/>
      <c r="D40" s="6">
        <f t="shared" si="2"/>
        <v>0</v>
      </c>
      <c r="E40" s="74"/>
      <c r="F40" s="20"/>
      <c r="G40" s="6">
        <f t="shared" si="3"/>
        <v>0</v>
      </c>
      <c r="H40" s="6">
        <f t="shared" si="1"/>
        <v>0</v>
      </c>
    </row>
    <row r="41" spans="1:8" x14ac:dyDescent="0.25">
      <c r="A41" s="4" t="s">
        <v>30</v>
      </c>
      <c r="B41" s="55"/>
      <c r="C41" s="20"/>
      <c r="D41" s="6">
        <f t="shared" si="2"/>
        <v>0</v>
      </c>
      <c r="E41" s="74"/>
      <c r="F41" s="20"/>
      <c r="G41" s="6">
        <f t="shared" si="3"/>
        <v>0</v>
      </c>
      <c r="H41" s="6">
        <f t="shared" si="1"/>
        <v>0</v>
      </c>
    </row>
    <row r="42" spans="1:8" x14ac:dyDescent="0.25">
      <c r="A42" s="4" t="s">
        <v>31</v>
      </c>
      <c r="B42" s="55"/>
      <c r="C42" s="20"/>
      <c r="D42" s="6">
        <f t="shared" si="2"/>
        <v>0</v>
      </c>
      <c r="E42" s="74"/>
      <c r="F42" s="20"/>
      <c r="G42" s="6">
        <f>E42+F42</f>
        <v>0</v>
      </c>
      <c r="H42" s="6">
        <f t="shared" si="1"/>
        <v>0</v>
      </c>
    </row>
    <row r="43" spans="1:8" x14ac:dyDescent="0.25">
      <c r="A43" s="4" t="s">
        <v>62</v>
      </c>
      <c r="B43" s="20">
        <v>0</v>
      </c>
      <c r="C43" s="20"/>
      <c r="D43" s="6">
        <f t="shared" si="2"/>
        <v>0</v>
      </c>
      <c r="E43" s="46">
        <v>382984.68</v>
      </c>
      <c r="F43" s="20"/>
      <c r="G43" s="6">
        <f>E43+F43</f>
        <v>382984.68</v>
      </c>
      <c r="H43" s="6">
        <f t="shared" si="1"/>
        <v>382984.68</v>
      </c>
    </row>
    <row r="44" spans="1:8" x14ac:dyDescent="0.25">
      <c r="A44" s="2" t="s">
        <v>32</v>
      </c>
      <c r="B44" s="6">
        <f>SUM(B38:B43)</f>
        <v>0</v>
      </c>
      <c r="C44" s="6">
        <f>SUM(C38:C43)</f>
        <v>0</v>
      </c>
      <c r="D44" s="6">
        <f t="shared" si="2"/>
        <v>0</v>
      </c>
      <c r="E44" s="43">
        <f>SUM(E38:E43)</f>
        <v>382984.68</v>
      </c>
      <c r="F44" s="6">
        <f>SUM(F38:F43)</f>
        <v>0</v>
      </c>
      <c r="G44" s="6">
        <f t="shared" si="3"/>
        <v>382984.68</v>
      </c>
      <c r="H44" s="6">
        <f t="shared" si="1"/>
        <v>382984.68</v>
      </c>
    </row>
    <row r="46" spans="1:8" x14ac:dyDescent="0.25">
      <c r="A46" s="2" t="s">
        <v>33</v>
      </c>
      <c r="B46" s="6">
        <f>B35-B44</f>
        <v>0</v>
      </c>
      <c r="C46" s="6">
        <f>C35-C44</f>
        <v>0</v>
      </c>
      <c r="D46" s="6">
        <f t="shared" si="2"/>
        <v>0</v>
      </c>
      <c r="E46" s="43">
        <f>E35-E44</f>
        <v>0</v>
      </c>
      <c r="F46" s="6">
        <f>F35-F44</f>
        <v>58255</v>
      </c>
      <c r="G46" s="6">
        <f>G35-G44</f>
        <v>58255</v>
      </c>
      <c r="H46" s="6">
        <f t="shared" si="1"/>
        <v>58255</v>
      </c>
    </row>
    <row r="48" spans="1:8" x14ac:dyDescent="0.25">
      <c r="A48" t="s">
        <v>300</v>
      </c>
      <c r="B48" s="20"/>
      <c r="C48" s="20"/>
      <c r="D48" s="6">
        <f t="shared" si="2"/>
        <v>0</v>
      </c>
      <c r="E48" s="46"/>
      <c r="F48" s="20"/>
      <c r="G48" s="6">
        <f>E48+F48</f>
        <v>0</v>
      </c>
      <c r="H48" s="6">
        <f t="shared" si="1"/>
        <v>0</v>
      </c>
    </row>
    <row r="49" spans="1:8" x14ac:dyDescent="0.25">
      <c r="A49" t="s">
        <v>34</v>
      </c>
      <c r="B49" s="20"/>
      <c r="C49" s="20"/>
      <c r="D49" s="6">
        <f t="shared" si="2"/>
        <v>0</v>
      </c>
      <c r="E49" s="46"/>
      <c r="F49" s="20"/>
      <c r="G49" s="6">
        <f>E49+F49</f>
        <v>0</v>
      </c>
      <c r="H49" s="6">
        <f t="shared" si="1"/>
        <v>0</v>
      </c>
    </row>
    <row r="50" spans="1:8" x14ac:dyDescent="0.25">
      <c r="A50" t="s">
        <v>35</v>
      </c>
      <c r="B50" s="20"/>
      <c r="C50" s="20"/>
      <c r="D50" s="6">
        <f t="shared" si="2"/>
        <v>0</v>
      </c>
      <c r="E50" s="46"/>
      <c r="F50" s="20"/>
      <c r="G50" s="6">
        <f>E50+F50</f>
        <v>0</v>
      </c>
      <c r="H50" s="6">
        <f t="shared" si="1"/>
        <v>0</v>
      </c>
    </row>
    <row r="51" spans="1:8" x14ac:dyDescent="0.25">
      <c r="A51" s="2" t="s">
        <v>36</v>
      </c>
      <c r="B51" s="6">
        <f>B48+B49-B50</f>
        <v>0</v>
      </c>
      <c r="C51" s="6">
        <f>C48+C49-C50</f>
        <v>0</v>
      </c>
      <c r="D51" s="6">
        <f t="shared" si="2"/>
        <v>0</v>
      </c>
      <c r="E51" s="43">
        <f>E48+E49-E50</f>
        <v>0</v>
      </c>
      <c r="F51" s="6">
        <f>F48+F49-F50</f>
        <v>0</v>
      </c>
      <c r="G51" s="6">
        <f>E51+F51</f>
        <v>0</v>
      </c>
      <c r="H51" s="6">
        <f t="shared" si="1"/>
        <v>0</v>
      </c>
    </row>
    <row r="53" spans="1:8" x14ac:dyDescent="0.25">
      <c r="A53" s="2" t="s">
        <v>37</v>
      </c>
      <c r="B53" s="6">
        <f t="shared" ref="B53:G53" si="4">B46+B51</f>
        <v>0</v>
      </c>
      <c r="C53" s="6">
        <f t="shared" si="4"/>
        <v>0</v>
      </c>
      <c r="D53" s="6">
        <f t="shared" si="4"/>
        <v>0</v>
      </c>
      <c r="E53" s="43">
        <f t="shared" si="4"/>
        <v>0</v>
      </c>
      <c r="F53" s="6">
        <f t="shared" si="4"/>
        <v>58255</v>
      </c>
      <c r="G53" s="6">
        <f t="shared" si="4"/>
        <v>58255</v>
      </c>
      <c r="H53" s="6">
        <f t="shared" si="1"/>
        <v>58255</v>
      </c>
    </row>
    <row r="54" spans="1:8" x14ac:dyDescent="0.25">
      <c r="A54" t="s">
        <v>38</v>
      </c>
      <c r="B54" s="6">
        <f t="shared" ref="B54:G54" si="5">B55-B53</f>
        <v>-261.08999999999997</v>
      </c>
      <c r="C54" s="6">
        <f t="shared" si="5"/>
        <v>0</v>
      </c>
      <c r="D54" s="6">
        <f t="shared" si="5"/>
        <v>-261.08999999999997</v>
      </c>
      <c r="E54" s="43">
        <f t="shared" si="5"/>
        <v>260.94</v>
      </c>
      <c r="F54" s="6">
        <f t="shared" si="5"/>
        <v>0</v>
      </c>
      <c r="G54" s="6">
        <f t="shared" si="5"/>
        <v>260.94000000000233</v>
      </c>
      <c r="H54" s="6">
        <f t="shared" si="1"/>
        <v>-0.14999999999764668</v>
      </c>
    </row>
    <row r="55" spans="1:8" x14ac:dyDescent="0.25">
      <c r="A55" s="2" t="s">
        <v>39</v>
      </c>
      <c r="B55" s="6">
        <f t="shared" ref="B55:G55" si="6">B26</f>
        <v>-261.08999999999997</v>
      </c>
      <c r="C55" s="6">
        <f t="shared" si="6"/>
        <v>0</v>
      </c>
      <c r="D55" s="6">
        <f t="shared" si="6"/>
        <v>-261.08999999999997</v>
      </c>
      <c r="E55" s="43">
        <f t="shared" si="6"/>
        <v>260.94</v>
      </c>
      <c r="F55" s="6">
        <f t="shared" si="6"/>
        <v>58255</v>
      </c>
      <c r="G55" s="6">
        <f t="shared" si="6"/>
        <v>58515.94</v>
      </c>
      <c r="H55" s="6">
        <f t="shared" si="1"/>
        <v>58254.850000000006</v>
      </c>
    </row>
  </sheetData>
  <sheetProtection sheet="1" objects="1" scenarios="1"/>
  <customSheetViews>
    <customSheetView guid="{E68B3865-8D72-47E7-BE32-0FF7EB09E889}" scale="80" fitToPage="1">
      <pane xSplit="1" ySplit="7" topLeftCell="B8" activePane="bottomRight" state="frozen"/>
      <selection pane="bottomRight" activeCell="F9" sqref="F9"/>
      <pageMargins left="0.7" right="0.7" top="0.75" bottom="0.75" header="0.3" footer="0.3"/>
      <pageSetup scale="67" orientation="portrait" horizontalDpi="1200" r:id="rId1"/>
    </customSheetView>
    <customSheetView guid="{DE6E911D-85BF-467A-AA00-1E84C5349CF7}" scale="80" fitToPage="1">
      <pane xSplit="1" ySplit="7" topLeftCell="B8" activePane="bottomRight" state="frozen"/>
      <selection pane="bottomRight" activeCell="F9" sqref="F9"/>
      <pageMargins left="0.7" right="0.7" top="0.75" bottom="0.75" header="0.3" footer="0.3"/>
      <pageSetup scale="67" orientation="portrait" horizontalDpi="1200" r:id="rId2"/>
    </customSheetView>
    <customSheetView guid="{A6F79E61-D6A3-44FD-B4A4-4724DF74349B}" showPageBreaks="1" fitToPage="1">
      <selection activeCell="E9" sqref="E9"/>
      <pageMargins left="0.7" right="0.7" top="0.75" bottom="0.75" header="0.3" footer="0.3"/>
      <pageSetup scale="72" orientation="portrait" horizontalDpi="1200" r:id="rId3"/>
    </customSheetView>
    <customSheetView guid="{D62C3EC3-27D1-41F3-9A4E-06307CA202CE}" showPageBreaks="1" fitToPage="1" showRuler="0" topLeftCell="A43">
      <selection activeCell="E43" sqref="E43"/>
      <pageMargins left="0.7" right="0.7" top="0.75" bottom="0.75" header="0.3" footer="0.3"/>
      <pageSetup scale="73" orientation="portrait" horizontalDpi="1200" r:id="rId4"/>
      <headerFooter alignWithMargins="0"/>
    </customSheetView>
    <customSheetView guid="{EC03C3C8-7E57-47C6-8413-F484E8C46A0C}" showPageBreaks="1" fitToPage="1" topLeftCell="A33">
      <selection activeCell="B50" sqref="B50"/>
      <pageMargins left="0.7" right="0.7" top="0.75" bottom="0.75" header="0.3" footer="0.3"/>
      <pageSetup scale="73" orientation="portrait" horizontalDpi="1200" r:id="rId5"/>
    </customSheetView>
    <customSheetView guid="{2B2709E2-6DF4-4CC4-88D0-056FB306137C}" fitToPage="1">
      <pane xSplit="1" ySplit="7" topLeftCell="B29" activePane="bottomRight" state="frozen"/>
      <selection pane="bottomRight" activeCell="B50" sqref="B50"/>
      <pageMargins left="0.7" right="0.7" top="0.75" bottom="0.75" header="0.3" footer="0.3"/>
      <pageSetup scale="73" orientation="portrait" horizontalDpi="1200" r:id="rId6"/>
    </customSheetView>
  </customSheetViews>
  <phoneticPr fontId="0" type="noConversion"/>
  <pageMargins left="0.7" right="0.7" top="0.75" bottom="0.75" header="0.3" footer="0.3"/>
  <pageSetup scale="67" orientation="portrait" horizontalDpi="1200" r:id="rId7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11" sqref="C11"/>
    </sheetView>
  </sheetViews>
  <sheetFormatPr defaultRowHeight="15" outlineLevelCol="1" x14ac:dyDescent="0.25"/>
  <cols>
    <col min="1" max="1" width="31" customWidth="1"/>
    <col min="2" max="2" width="12.7109375" style="43" bestFit="1" customWidth="1" outlineLevel="1"/>
    <col min="3" max="3" width="13.5703125" style="6" bestFit="1" customWidth="1" outlineLevel="1"/>
    <col min="4" max="4" width="13.5703125" style="6" bestFit="1" customWidth="1"/>
    <col min="5" max="5" width="12.7109375" style="6" bestFit="1" customWidth="1" outlineLevel="1"/>
    <col min="6" max="6" width="13.5703125" style="6" bestFit="1" customWidth="1" outlineLevel="1"/>
    <col min="7" max="7" width="13.5703125" style="6" bestFit="1" customWidth="1"/>
    <col min="8" max="8" width="12.7109375" style="6" bestFit="1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5" t="s">
        <v>93</v>
      </c>
    </row>
    <row r="2" spans="1:15" x14ac:dyDescent="0.25">
      <c r="A2" t="s">
        <v>1</v>
      </c>
    </row>
    <row r="3" spans="1:15" x14ac:dyDescent="0.25">
      <c r="A3" s="1">
        <f>CDBG!A3</f>
        <v>43830</v>
      </c>
    </row>
    <row r="4" spans="1:15" x14ac:dyDescent="0.25">
      <c r="A4" s="1"/>
    </row>
    <row r="5" spans="1:15" ht="45" x14ac:dyDescent="0.25">
      <c r="A5" s="1"/>
      <c r="B5" s="44" t="s">
        <v>94</v>
      </c>
      <c r="C5" s="7" t="s">
        <v>47</v>
      </c>
      <c r="D5" s="7" t="s">
        <v>95</v>
      </c>
      <c r="E5" s="7" t="s">
        <v>96</v>
      </c>
      <c r="F5" s="7" t="s">
        <v>47</v>
      </c>
      <c r="G5" s="7" t="s">
        <v>95</v>
      </c>
      <c r="H5" s="7" t="s">
        <v>83</v>
      </c>
      <c r="I5" s="7"/>
      <c r="J5" s="7"/>
      <c r="K5" s="7"/>
      <c r="L5" s="7"/>
      <c r="M5" s="7"/>
      <c r="N5" s="7"/>
      <c r="O5" s="7"/>
    </row>
    <row r="7" spans="1:15" x14ac:dyDescent="0.25">
      <c r="A7" s="3" t="s">
        <v>2</v>
      </c>
    </row>
    <row r="8" spans="1:15" x14ac:dyDescent="0.25">
      <c r="A8" s="4" t="s">
        <v>3</v>
      </c>
      <c r="B8" s="46">
        <v>30141.61</v>
      </c>
      <c r="C8" s="20"/>
      <c r="D8" s="6">
        <f>B8+C8</f>
        <v>30141.61</v>
      </c>
      <c r="E8" s="20"/>
      <c r="F8" s="20"/>
      <c r="G8" s="49">
        <f>E8+F8</f>
        <v>0</v>
      </c>
      <c r="H8" s="6">
        <f t="shared" ref="H8:H71" si="0">D8+G8</f>
        <v>30141.61</v>
      </c>
    </row>
    <row r="9" spans="1:15" x14ac:dyDescent="0.25">
      <c r="A9" s="4" t="s">
        <v>4</v>
      </c>
      <c r="B9" s="50">
        <f>4142-2641</f>
        <v>1501</v>
      </c>
      <c r="C9" s="20"/>
      <c r="D9" s="6">
        <f t="shared" ref="D9:D67" si="1">B9+C9</f>
        <v>1501</v>
      </c>
      <c r="E9" s="20"/>
      <c r="F9" s="20"/>
      <c r="G9" s="6">
        <f t="shared" ref="G9:G67" si="2">E9+F9</f>
        <v>0</v>
      </c>
      <c r="H9" s="6">
        <f t="shared" si="0"/>
        <v>1501</v>
      </c>
    </row>
    <row r="10" spans="1:15" x14ac:dyDescent="0.25">
      <c r="A10" s="4" t="s">
        <v>6</v>
      </c>
      <c r="B10" s="46">
        <v>1458.2</v>
      </c>
      <c r="C10" s="20"/>
      <c r="D10" s="6">
        <f t="shared" si="1"/>
        <v>1458.2</v>
      </c>
      <c r="E10" s="20"/>
      <c r="F10" s="20"/>
      <c r="G10" s="6">
        <f t="shared" si="2"/>
        <v>0</v>
      </c>
      <c r="H10" s="6">
        <f t="shared" si="0"/>
        <v>1458.2</v>
      </c>
    </row>
    <row r="11" spans="1:15" x14ac:dyDescent="0.25">
      <c r="A11" s="4" t="s">
        <v>5</v>
      </c>
      <c r="B11" s="46">
        <v>2641</v>
      </c>
      <c r="C11" s="20"/>
      <c r="D11" s="6">
        <f t="shared" si="1"/>
        <v>2641</v>
      </c>
      <c r="E11" s="20"/>
      <c r="F11" s="20"/>
      <c r="G11" s="6">
        <f t="shared" si="2"/>
        <v>0</v>
      </c>
      <c r="H11" s="6">
        <f t="shared" si="0"/>
        <v>2641</v>
      </c>
    </row>
    <row r="12" spans="1:15" x14ac:dyDescent="0.25">
      <c r="A12" s="4" t="s">
        <v>61</v>
      </c>
      <c r="B12" s="46">
        <f>1458.2-1458.2</f>
        <v>0</v>
      </c>
      <c r="C12" s="20"/>
      <c r="D12" s="6">
        <f t="shared" si="1"/>
        <v>0</v>
      </c>
      <c r="E12" s="20"/>
      <c r="F12" s="20"/>
      <c r="G12" s="6">
        <f t="shared" si="2"/>
        <v>0</v>
      </c>
      <c r="H12" s="6">
        <f t="shared" si="0"/>
        <v>0</v>
      </c>
    </row>
    <row r="13" spans="1:15" x14ac:dyDescent="0.25">
      <c r="A13" s="2" t="s">
        <v>7</v>
      </c>
      <c r="B13" s="43">
        <f>SUM(B8:B12)</f>
        <v>35741.81</v>
      </c>
      <c r="C13" s="6">
        <f t="shared" ref="C13:H13" si="3">SUM(C8:C12)</f>
        <v>0</v>
      </c>
      <c r="D13" s="6">
        <f t="shared" si="3"/>
        <v>35741.81</v>
      </c>
      <c r="E13" s="6">
        <f t="shared" si="3"/>
        <v>0</v>
      </c>
      <c r="F13" s="6">
        <f t="shared" si="3"/>
        <v>0</v>
      </c>
      <c r="G13" s="6">
        <f t="shared" si="3"/>
        <v>0</v>
      </c>
      <c r="H13" s="6">
        <f t="shared" si="3"/>
        <v>35741.81</v>
      </c>
    </row>
    <row r="15" spans="1:15" x14ac:dyDescent="0.25">
      <c r="A15" s="3" t="s">
        <v>8</v>
      </c>
    </row>
    <row r="16" spans="1:15" x14ac:dyDescent="0.25">
      <c r="A16" s="4" t="s">
        <v>9</v>
      </c>
      <c r="B16" s="46">
        <v>29.42</v>
      </c>
      <c r="C16" s="20"/>
      <c r="D16" s="6">
        <f t="shared" si="1"/>
        <v>29.42</v>
      </c>
      <c r="E16" s="20"/>
      <c r="F16" s="20"/>
      <c r="G16" s="6">
        <f t="shared" si="2"/>
        <v>0</v>
      </c>
      <c r="H16" s="6">
        <f t="shared" si="0"/>
        <v>29.42</v>
      </c>
    </row>
    <row r="17" spans="1:8" x14ac:dyDescent="0.25">
      <c r="A17" s="4" t="s">
        <v>10</v>
      </c>
      <c r="B17" s="46">
        <v>157.06</v>
      </c>
      <c r="C17" s="20"/>
      <c r="D17" s="6">
        <f t="shared" si="1"/>
        <v>157.06</v>
      </c>
      <c r="E17" s="20"/>
      <c r="F17" s="20"/>
      <c r="G17" s="6">
        <f t="shared" si="2"/>
        <v>0</v>
      </c>
      <c r="H17" s="6">
        <f t="shared" si="0"/>
        <v>157.06</v>
      </c>
    </row>
    <row r="18" spans="1:8" x14ac:dyDescent="0.25">
      <c r="A18" s="4" t="s">
        <v>190</v>
      </c>
      <c r="B18" s="46"/>
      <c r="C18" s="20"/>
      <c r="D18" s="6">
        <f t="shared" si="1"/>
        <v>0</v>
      </c>
      <c r="E18" s="20"/>
      <c r="F18" s="20"/>
      <c r="G18" s="6">
        <f t="shared" si="2"/>
        <v>0</v>
      </c>
      <c r="H18" s="6">
        <f t="shared" si="0"/>
        <v>0</v>
      </c>
    </row>
    <row r="19" spans="1:8" x14ac:dyDescent="0.25">
      <c r="A19" s="4" t="s">
        <v>12</v>
      </c>
      <c r="B19" s="46">
        <v>35555.629999999997</v>
      </c>
      <c r="C19" s="20"/>
      <c r="D19" s="6">
        <f t="shared" si="1"/>
        <v>35555.629999999997</v>
      </c>
      <c r="E19" s="20"/>
      <c r="F19" s="20"/>
      <c r="G19" s="6">
        <f t="shared" si="2"/>
        <v>0</v>
      </c>
      <c r="H19" s="6">
        <f t="shared" si="0"/>
        <v>35555.629999999997</v>
      </c>
    </row>
    <row r="20" spans="1:8" x14ac:dyDescent="0.25">
      <c r="A20" s="2" t="s">
        <v>13</v>
      </c>
      <c r="B20" s="43">
        <f>SUM(B16:B19)</f>
        <v>35742.11</v>
      </c>
      <c r="C20" s="6">
        <f>SUM(C16:C19)</f>
        <v>0</v>
      </c>
      <c r="D20" s="6">
        <f t="shared" si="1"/>
        <v>35742.11</v>
      </c>
      <c r="E20" s="6">
        <f>SUM(E16:E19)</f>
        <v>0</v>
      </c>
      <c r="F20" s="6">
        <f>SUM(F16:F19)</f>
        <v>0</v>
      </c>
      <c r="G20" s="6">
        <f t="shared" si="2"/>
        <v>0</v>
      </c>
      <c r="H20" s="6">
        <f t="shared" si="0"/>
        <v>35742.11</v>
      </c>
    </row>
    <row r="22" spans="1:8" x14ac:dyDescent="0.25">
      <c r="A22" s="3" t="s">
        <v>14</v>
      </c>
    </row>
    <row r="23" spans="1:8" x14ac:dyDescent="0.25">
      <c r="A23" s="4" t="s">
        <v>370</v>
      </c>
      <c r="B23" s="74"/>
      <c r="C23" s="55"/>
      <c r="D23" s="6">
        <f t="shared" si="1"/>
        <v>0</v>
      </c>
      <c r="E23" s="55"/>
      <c r="F23" s="55"/>
      <c r="G23" s="6">
        <f t="shared" si="2"/>
        <v>0</v>
      </c>
      <c r="H23" s="6">
        <f t="shared" si="0"/>
        <v>0</v>
      </c>
    </row>
    <row r="24" spans="1:8" x14ac:dyDescent="0.25">
      <c r="A24" s="77" t="s">
        <v>369</v>
      </c>
      <c r="B24" s="74"/>
      <c r="C24" s="55"/>
      <c r="D24" s="6">
        <f t="shared" si="1"/>
        <v>0</v>
      </c>
      <c r="E24" s="55"/>
      <c r="F24" s="55"/>
      <c r="G24" s="6">
        <f t="shared" si="2"/>
        <v>0</v>
      </c>
      <c r="H24" s="6">
        <f t="shared" si="0"/>
        <v>0</v>
      </c>
    </row>
    <row r="25" spans="1:8" x14ac:dyDescent="0.25">
      <c r="A25" s="77" t="s">
        <v>31</v>
      </c>
      <c r="B25" s="74"/>
      <c r="C25" s="55"/>
      <c r="D25" s="6">
        <f t="shared" si="1"/>
        <v>0</v>
      </c>
      <c r="E25" s="55"/>
      <c r="F25" s="55"/>
      <c r="G25" s="6">
        <f t="shared" si="2"/>
        <v>0</v>
      </c>
      <c r="H25" s="6">
        <f t="shared" si="0"/>
        <v>0</v>
      </c>
    </row>
    <row r="26" spans="1:8" x14ac:dyDescent="0.25">
      <c r="A26" s="77" t="s">
        <v>333</v>
      </c>
      <c r="B26" s="74"/>
      <c r="C26" s="55"/>
      <c r="D26" s="6">
        <f t="shared" si="1"/>
        <v>0</v>
      </c>
      <c r="E26" s="55"/>
      <c r="F26" s="55"/>
      <c r="G26" s="6">
        <f t="shared" si="2"/>
        <v>0</v>
      </c>
      <c r="H26" s="6">
        <f t="shared" si="0"/>
        <v>0</v>
      </c>
    </row>
    <row r="27" spans="1:8" x14ac:dyDescent="0.25">
      <c r="A27" s="77" t="s">
        <v>334</v>
      </c>
      <c r="B27" s="74"/>
      <c r="C27" s="55"/>
      <c r="D27" s="6">
        <f t="shared" si="1"/>
        <v>0</v>
      </c>
      <c r="E27" s="55"/>
      <c r="F27" s="55"/>
      <c r="G27" s="6">
        <f t="shared" si="2"/>
        <v>0</v>
      </c>
      <c r="H27" s="6">
        <f t="shared" si="0"/>
        <v>0</v>
      </c>
    </row>
    <row r="28" spans="1:8" x14ac:dyDescent="0.25">
      <c r="A28" s="77" t="s">
        <v>335</v>
      </c>
      <c r="B28" s="74"/>
      <c r="C28" s="55"/>
      <c r="D28" s="6">
        <f t="shared" si="1"/>
        <v>0</v>
      </c>
      <c r="E28" s="55"/>
      <c r="F28" s="55"/>
      <c r="G28" s="6">
        <f t="shared" si="2"/>
        <v>0</v>
      </c>
      <c r="H28" s="6">
        <f t="shared" si="0"/>
        <v>0</v>
      </c>
    </row>
    <row r="29" spans="1:8" x14ac:dyDescent="0.25">
      <c r="A29" s="77" t="s">
        <v>336</v>
      </c>
      <c r="B29" s="74"/>
      <c r="C29" s="55"/>
      <c r="D29" s="6">
        <f t="shared" si="1"/>
        <v>0</v>
      </c>
      <c r="E29" s="55"/>
      <c r="F29" s="55"/>
      <c r="G29" s="6">
        <f t="shared" si="2"/>
        <v>0</v>
      </c>
      <c r="H29" s="6">
        <f t="shared" si="0"/>
        <v>0</v>
      </c>
    </row>
    <row r="30" spans="1:8" x14ac:dyDescent="0.25">
      <c r="A30" s="77" t="s">
        <v>337</v>
      </c>
      <c r="B30" s="74"/>
      <c r="C30" s="55"/>
      <c r="D30" s="6">
        <f t="shared" si="1"/>
        <v>0</v>
      </c>
      <c r="E30" s="55"/>
      <c r="F30" s="55"/>
      <c r="G30" s="6">
        <f t="shared" si="2"/>
        <v>0</v>
      </c>
      <c r="H30" s="6">
        <f t="shared" si="0"/>
        <v>0</v>
      </c>
    </row>
    <row r="31" spans="1:8" x14ac:dyDescent="0.25">
      <c r="A31" s="77" t="s">
        <v>362</v>
      </c>
      <c r="B31" s="74"/>
      <c r="C31" s="55"/>
      <c r="D31" s="6">
        <f t="shared" si="1"/>
        <v>0</v>
      </c>
      <c r="E31" s="55"/>
      <c r="F31" s="55"/>
      <c r="G31" s="6">
        <f t="shared" si="2"/>
        <v>0</v>
      </c>
      <c r="H31" s="6">
        <f t="shared" si="0"/>
        <v>0</v>
      </c>
    </row>
    <row r="32" spans="1:8" x14ac:dyDescent="0.25">
      <c r="A32" s="77" t="s">
        <v>339</v>
      </c>
      <c r="B32" s="74"/>
      <c r="C32" s="55"/>
      <c r="D32" s="6">
        <f t="shared" si="1"/>
        <v>0</v>
      </c>
      <c r="E32" s="55"/>
      <c r="F32" s="55"/>
      <c r="G32" s="6">
        <f t="shared" si="2"/>
        <v>0</v>
      </c>
      <c r="H32" s="6">
        <f t="shared" si="0"/>
        <v>0</v>
      </c>
    </row>
    <row r="33" spans="1:8" x14ac:dyDescent="0.25">
      <c r="A33" s="77" t="s">
        <v>363</v>
      </c>
      <c r="B33" s="74"/>
      <c r="C33" s="55"/>
      <c r="D33" s="6">
        <f t="shared" si="1"/>
        <v>0</v>
      </c>
      <c r="E33" s="55"/>
      <c r="F33" s="55"/>
      <c r="G33" s="6">
        <f t="shared" si="2"/>
        <v>0</v>
      </c>
      <c r="H33" s="6">
        <f t="shared" si="0"/>
        <v>0</v>
      </c>
    </row>
    <row r="34" spans="1:8" x14ac:dyDescent="0.25">
      <c r="A34" s="77" t="s">
        <v>364</v>
      </c>
      <c r="B34" s="74"/>
      <c r="C34" s="55"/>
      <c r="D34" s="6">
        <f t="shared" si="1"/>
        <v>0</v>
      </c>
      <c r="E34" s="55"/>
      <c r="F34" s="55"/>
      <c r="G34" s="6">
        <f t="shared" si="2"/>
        <v>0</v>
      </c>
      <c r="H34" s="6">
        <f t="shared" si="0"/>
        <v>0</v>
      </c>
    </row>
    <row r="35" spans="1:8" x14ac:dyDescent="0.25">
      <c r="A35" s="4" t="s">
        <v>365</v>
      </c>
      <c r="B35" s="74"/>
      <c r="C35" s="55"/>
      <c r="D35" s="6">
        <f t="shared" si="1"/>
        <v>0</v>
      </c>
      <c r="E35" s="55"/>
      <c r="F35" s="55"/>
      <c r="G35" s="6">
        <f t="shared" si="2"/>
        <v>0</v>
      </c>
      <c r="H35" s="6">
        <f t="shared" si="0"/>
        <v>0</v>
      </c>
    </row>
    <row r="36" spans="1:8" x14ac:dyDescent="0.25">
      <c r="A36" s="77" t="s">
        <v>371</v>
      </c>
      <c r="B36" s="74"/>
      <c r="C36" s="55"/>
      <c r="D36" s="6">
        <f t="shared" si="1"/>
        <v>0</v>
      </c>
      <c r="E36" s="55"/>
      <c r="F36" s="55"/>
      <c r="G36" s="6">
        <f t="shared" si="2"/>
        <v>0</v>
      </c>
      <c r="H36" s="6">
        <f t="shared" si="0"/>
        <v>0</v>
      </c>
    </row>
    <row r="37" spans="1:8" x14ac:dyDescent="0.25">
      <c r="A37" s="77" t="s">
        <v>366</v>
      </c>
      <c r="B37" s="74"/>
      <c r="C37" s="55"/>
      <c r="D37" s="6">
        <f t="shared" si="1"/>
        <v>0</v>
      </c>
      <c r="E37" s="55"/>
      <c r="F37" s="55"/>
      <c r="G37" s="6">
        <f t="shared" si="2"/>
        <v>0</v>
      </c>
      <c r="H37" s="6">
        <f t="shared" si="0"/>
        <v>0</v>
      </c>
    </row>
    <row r="38" spans="1:8" x14ac:dyDescent="0.25">
      <c r="A38" s="77" t="s">
        <v>367</v>
      </c>
      <c r="B38" s="74"/>
      <c r="C38" s="55"/>
      <c r="D38" s="6">
        <f t="shared" si="1"/>
        <v>0</v>
      </c>
      <c r="E38" s="55"/>
      <c r="F38" s="55"/>
      <c r="G38" s="6">
        <f t="shared" si="2"/>
        <v>0</v>
      </c>
      <c r="H38" s="6">
        <f t="shared" si="0"/>
        <v>0</v>
      </c>
    </row>
    <row r="39" spans="1:8" x14ac:dyDescent="0.25">
      <c r="A39" s="77" t="s">
        <v>345</v>
      </c>
      <c r="B39" s="46">
        <v>-0.3</v>
      </c>
      <c r="C39" s="20"/>
      <c r="D39" s="6">
        <f t="shared" si="1"/>
        <v>-0.3</v>
      </c>
      <c r="E39" s="20"/>
      <c r="F39" s="20"/>
      <c r="G39" s="6">
        <f t="shared" si="2"/>
        <v>0</v>
      </c>
      <c r="H39" s="6">
        <f t="shared" si="0"/>
        <v>-0.3</v>
      </c>
    </row>
    <row r="40" spans="1:8" x14ac:dyDescent="0.25">
      <c r="A40" s="4" t="s">
        <v>17</v>
      </c>
      <c r="B40" s="74"/>
      <c r="C40" s="55"/>
      <c r="D40" s="6">
        <f t="shared" si="1"/>
        <v>0</v>
      </c>
      <c r="E40" s="55"/>
      <c r="F40" s="55"/>
      <c r="G40" s="6">
        <f t="shared" si="2"/>
        <v>0</v>
      </c>
      <c r="H40" s="6">
        <f t="shared" si="0"/>
        <v>0</v>
      </c>
    </row>
    <row r="41" spans="1:8" x14ac:dyDescent="0.25">
      <c r="A41" s="2" t="s">
        <v>18</v>
      </c>
      <c r="B41" s="43">
        <f>SUM(B23:B40)</f>
        <v>-0.3</v>
      </c>
      <c r="C41" s="43">
        <f>SUM(C23:C40)</f>
        <v>0</v>
      </c>
      <c r="D41" s="6">
        <f t="shared" si="1"/>
        <v>-0.3</v>
      </c>
      <c r="E41" s="6">
        <f>SUM(E23:E40)</f>
        <v>0</v>
      </c>
      <c r="F41" s="6">
        <f>SUM(F23:F40)</f>
        <v>0</v>
      </c>
      <c r="G41" s="6">
        <f t="shared" si="2"/>
        <v>0</v>
      </c>
      <c r="H41" s="6">
        <f t="shared" si="0"/>
        <v>-0.3</v>
      </c>
    </row>
    <row r="43" spans="1:8" x14ac:dyDescent="0.25">
      <c r="A43" s="2" t="s">
        <v>19</v>
      </c>
      <c r="B43" s="43">
        <f>B20+B41</f>
        <v>35741.81</v>
      </c>
      <c r="C43" s="6">
        <f>C20+C41</f>
        <v>0</v>
      </c>
      <c r="D43" s="6">
        <f t="shared" si="1"/>
        <v>35741.81</v>
      </c>
      <c r="E43" s="6">
        <f>E20+E41</f>
        <v>0</v>
      </c>
      <c r="F43" s="6">
        <f>F20+F41</f>
        <v>0</v>
      </c>
      <c r="G43" s="6">
        <f t="shared" si="2"/>
        <v>0</v>
      </c>
      <c r="H43" s="6">
        <f t="shared" si="0"/>
        <v>35741.81</v>
      </c>
    </row>
    <row r="45" spans="1:8" x14ac:dyDescent="0.25">
      <c r="A45" s="3" t="s">
        <v>20</v>
      </c>
    </row>
    <row r="46" spans="1:8" x14ac:dyDescent="0.25">
      <c r="A46" s="4" t="s">
        <v>21</v>
      </c>
      <c r="B46" s="46">
        <v>21020.37</v>
      </c>
      <c r="C46" s="20">
        <v>750</v>
      </c>
      <c r="D46" s="6">
        <f t="shared" si="1"/>
        <v>21770.37</v>
      </c>
      <c r="E46" s="20"/>
      <c r="F46" s="20"/>
      <c r="G46" s="6">
        <f t="shared" si="2"/>
        <v>0</v>
      </c>
      <c r="H46" s="6">
        <f t="shared" si="0"/>
        <v>21770.37</v>
      </c>
    </row>
    <row r="47" spans="1:8" x14ac:dyDescent="0.25">
      <c r="A47" s="4" t="s">
        <v>22</v>
      </c>
      <c r="B47" s="46"/>
      <c r="C47" s="20"/>
      <c r="D47" s="6">
        <f t="shared" si="1"/>
        <v>0</v>
      </c>
      <c r="E47" s="20"/>
      <c r="F47" s="20"/>
      <c r="G47" s="6">
        <f t="shared" si="2"/>
        <v>0</v>
      </c>
      <c r="H47" s="6">
        <f t="shared" si="0"/>
        <v>0</v>
      </c>
    </row>
    <row r="48" spans="1:8" x14ac:dyDescent="0.25">
      <c r="A48" s="4" t="s">
        <v>201</v>
      </c>
      <c r="B48" s="46">
        <v>750</v>
      </c>
      <c r="C48" s="20">
        <v>-750</v>
      </c>
      <c r="D48" s="6">
        <f t="shared" si="1"/>
        <v>0</v>
      </c>
      <c r="E48" s="20"/>
      <c r="F48" s="20"/>
      <c r="G48" s="6">
        <f t="shared" si="2"/>
        <v>0</v>
      </c>
      <c r="H48" s="6">
        <f t="shared" si="0"/>
        <v>0</v>
      </c>
    </row>
    <row r="49" spans="1:8" x14ac:dyDescent="0.25">
      <c r="A49" s="4" t="s">
        <v>23</v>
      </c>
      <c r="B49" s="46"/>
      <c r="C49" s="20"/>
      <c r="D49" s="6">
        <f t="shared" si="1"/>
        <v>0</v>
      </c>
      <c r="E49" s="20"/>
      <c r="F49" s="20"/>
      <c r="G49" s="6">
        <f t="shared" si="2"/>
        <v>0</v>
      </c>
      <c r="H49" s="6">
        <f t="shared" si="0"/>
        <v>0</v>
      </c>
    </row>
    <row r="50" spans="1:8" x14ac:dyDescent="0.25">
      <c r="A50" s="4" t="s">
        <v>24</v>
      </c>
      <c r="B50" s="37"/>
      <c r="C50" s="21"/>
      <c r="D50" s="6">
        <f t="shared" si="1"/>
        <v>0</v>
      </c>
      <c r="E50" s="20"/>
      <c r="F50" s="20"/>
      <c r="G50" s="6">
        <f t="shared" si="2"/>
        <v>0</v>
      </c>
      <c r="H50" s="6">
        <f t="shared" si="0"/>
        <v>0</v>
      </c>
    </row>
    <row r="51" spans="1:8" x14ac:dyDescent="0.25">
      <c r="A51" s="2" t="s">
        <v>25</v>
      </c>
      <c r="B51" s="43">
        <f>SUM(B46:B50)</f>
        <v>21770.37</v>
      </c>
      <c r="C51" s="6">
        <f>SUM(C46:C50)</f>
        <v>0</v>
      </c>
      <c r="D51" s="6">
        <f t="shared" si="1"/>
        <v>21770.37</v>
      </c>
      <c r="E51" s="6">
        <f>SUM(E46:E50)</f>
        <v>0</v>
      </c>
      <c r="F51" s="6">
        <f>SUM(F46:F50)</f>
        <v>0</v>
      </c>
      <c r="G51" s="6">
        <f t="shared" si="2"/>
        <v>0</v>
      </c>
      <c r="H51" s="6">
        <f t="shared" si="0"/>
        <v>21770.37</v>
      </c>
    </row>
    <row r="53" spans="1:8" x14ac:dyDescent="0.25">
      <c r="A53" s="3" t="s">
        <v>26</v>
      </c>
    </row>
    <row r="54" spans="1:8" x14ac:dyDescent="0.25">
      <c r="A54" s="4" t="s">
        <v>27</v>
      </c>
      <c r="B54" s="74"/>
      <c r="C54" s="20"/>
      <c r="D54" s="6">
        <f t="shared" si="1"/>
        <v>0</v>
      </c>
      <c r="E54" s="55"/>
      <c r="F54" s="20"/>
      <c r="G54" s="6">
        <f t="shared" si="2"/>
        <v>0</v>
      </c>
      <c r="H54" s="6">
        <f t="shared" si="0"/>
        <v>0</v>
      </c>
    </row>
    <row r="55" spans="1:8" x14ac:dyDescent="0.25">
      <c r="A55" s="4" t="s">
        <v>28</v>
      </c>
      <c r="B55" s="74"/>
      <c r="C55" s="20"/>
      <c r="D55" s="6">
        <f t="shared" si="1"/>
        <v>0</v>
      </c>
      <c r="E55" s="55"/>
      <c r="F55" s="20"/>
      <c r="G55" s="6">
        <f t="shared" si="2"/>
        <v>0</v>
      </c>
      <c r="H55" s="6">
        <f t="shared" si="0"/>
        <v>0</v>
      </c>
    </row>
    <row r="56" spans="1:8" x14ac:dyDescent="0.25">
      <c r="A56" s="4" t="s">
        <v>29</v>
      </c>
      <c r="B56" s="74"/>
      <c r="C56" s="20"/>
      <c r="D56" s="6">
        <f t="shared" si="1"/>
        <v>0</v>
      </c>
      <c r="E56" s="55"/>
      <c r="F56" s="20"/>
      <c r="G56" s="6">
        <f t="shared" si="2"/>
        <v>0</v>
      </c>
      <c r="H56" s="6">
        <f t="shared" si="0"/>
        <v>0</v>
      </c>
    </row>
    <row r="57" spans="1:8" x14ac:dyDescent="0.25">
      <c r="A57" s="4" t="s">
        <v>30</v>
      </c>
      <c r="B57" s="74"/>
      <c r="C57" s="20"/>
      <c r="D57" s="6">
        <f t="shared" si="1"/>
        <v>0</v>
      </c>
      <c r="E57" s="55"/>
      <c r="F57" s="20"/>
      <c r="G57" s="6">
        <f t="shared" si="2"/>
        <v>0</v>
      </c>
      <c r="H57" s="6">
        <f t="shared" si="0"/>
        <v>0</v>
      </c>
    </row>
    <row r="58" spans="1:8" x14ac:dyDescent="0.25">
      <c r="A58" s="4" t="s">
        <v>31</v>
      </c>
      <c r="B58" s="46">
        <v>19240.349999999999</v>
      </c>
      <c r="C58" s="20"/>
      <c r="D58" s="6">
        <f t="shared" si="1"/>
        <v>19240.349999999999</v>
      </c>
      <c r="E58" s="20"/>
      <c r="F58" s="20"/>
      <c r="G58" s="6">
        <f t="shared" si="2"/>
        <v>0</v>
      </c>
      <c r="H58" s="6">
        <f t="shared" si="0"/>
        <v>19240.349999999999</v>
      </c>
    </row>
    <row r="59" spans="1:8" x14ac:dyDescent="0.25">
      <c r="A59" s="4" t="s">
        <v>62</v>
      </c>
      <c r="B59" s="74"/>
      <c r="C59" s="20"/>
      <c r="D59" s="6">
        <f t="shared" si="1"/>
        <v>0</v>
      </c>
      <c r="E59" s="55"/>
      <c r="F59" s="20"/>
      <c r="G59" s="6">
        <f t="shared" si="2"/>
        <v>0</v>
      </c>
      <c r="H59" s="6">
        <f t="shared" si="0"/>
        <v>0</v>
      </c>
    </row>
    <row r="60" spans="1:8" x14ac:dyDescent="0.25">
      <c r="A60" s="2" t="s">
        <v>32</v>
      </c>
      <c r="B60" s="43">
        <f>SUM(B54:B59)</f>
        <v>19240.349999999999</v>
      </c>
      <c r="C60" s="6">
        <f>SUM(C54:C59)</f>
        <v>0</v>
      </c>
      <c r="D60" s="6">
        <f t="shared" si="1"/>
        <v>19240.349999999999</v>
      </c>
      <c r="E60" s="6">
        <f>SUM(E54:E59)</f>
        <v>0</v>
      </c>
      <c r="F60" s="6">
        <f>SUM(F54:F59)</f>
        <v>0</v>
      </c>
      <c r="G60" s="6">
        <f t="shared" si="2"/>
        <v>0</v>
      </c>
      <c r="H60" s="6">
        <f t="shared" si="0"/>
        <v>19240.349999999999</v>
      </c>
    </row>
    <row r="62" spans="1:8" x14ac:dyDescent="0.25">
      <c r="A62" s="2" t="s">
        <v>33</v>
      </c>
      <c r="B62" s="43">
        <f>B51-B60</f>
        <v>2530.0200000000004</v>
      </c>
      <c r="C62" s="6">
        <f>C51-C60</f>
        <v>0</v>
      </c>
      <c r="D62" s="6">
        <f t="shared" si="1"/>
        <v>2530.0200000000004</v>
      </c>
      <c r="E62" s="6">
        <f>E51-E60</f>
        <v>0</v>
      </c>
      <c r="F62" s="6">
        <f>F51-F60</f>
        <v>0</v>
      </c>
      <c r="G62" s="6">
        <f t="shared" si="2"/>
        <v>0</v>
      </c>
      <c r="H62" s="6">
        <f t="shared" si="0"/>
        <v>2530.0200000000004</v>
      </c>
    </row>
    <row r="63" spans="1:8" x14ac:dyDescent="0.25">
      <c r="A63" s="2"/>
    </row>
    <row r="64" spans="1:8" x14ac:dyDescent="0.25">
      <c r="A64" s="34" t="s">
        <v>300</v>
      </c>
      <c r="B64" s="46"/>
      <c r="C64" s="20"/>
      <c r="D64" s="6">
        <f t="shared" si="1"/>
        <v>0</v>
      </c>
      <c r="E64" s="20"/>
      <c r="F64" s="20"/>
      <c r="G64" s="6">
        <f t="shared" si="2"/>
        <v>0</v>
      </c>
      <c r="H64" s="6">
        <f t="shared" si="0"/>
        <v>0</v>
      </c>
    </row>
    <row r="65" spans="1:8" x14ac:dyDescent="0.25">
      <c r="A65" t="s">
        <v>34</v>
      </c>
      <c r="B65" s="46"/>
      <c r="C65" s="20"/>
      <c r="D65" s="6">
        <f t="shared" si="1"/>
        <v>0</v>
      </c>
      <c r="E65" s="20"/>
      <c r="F65" s="20"/>
      <c r="G65" s="6">
        <f t="shared" si="2"/>
        <v>0</v>
      </c>
      <c r="H65" s="6">
        <f t="shared" si="0"/>
        <v>0</v>
      </c>
    </row>
    <row r="66" spans="1:8" x14ac:dyDescent="0.25">
      <c r="A66" t="s">
        <v>35</v>
      </c>
      <c r="B66" s="46">
        <v>2530.02</v>
      </c>
      <c r="C66" s="20"/>
      <c r="D66" s="6">
        <f t="shared" si="1"/>
        <v>2530.02</v>
      </c>
      <c r="E66" s="20"/>
      <c r="F66" s="20"/>
      <c r="G66" s="6">
        <f t="shared" si="2"/>
        <v>0</v>
      </c>
      <c r="H66" s="6">
        <f t="shared" si="0"/>
        <v>2530.02</v>
      </c>
    </row>
    <row r="67" spans="1:8" x14ac:dyDescent="0.25">
      <c r="A67" s="2" t="s">
        <v>36</v>
      </c>
      <c r="B67" s="43">
        <f>B64+B65-B66</f>
        <v>-2530.02</v>
      </c>
      <c r="C67" s="6">
        <f>C64+C65-C66</f>
        <v>0</v>
      </c>
      <c r="D67" s="6">
        <f t="shared" si="1"/>
        <v>-2530.02</v>
      </c>
      <c r="E67" s="6">
        <f>E64+E65-E66</f>
        <v>0</v>
      </c>
      <c r="F67" s="6">
        <f>F64+F65-F66</f>
        <v>0</v>
      </c>
      <c r="G67" s="6">
        <f t="shared" si="2"/>
        <v>0</v>
      </c>
      <c r="H67" s="6">
        <f t="shared" si="0"/>
        <v>-2530.02</v>
      </c>
    </row>
    <row r="69" spans="1:8" x14ac:dyDescent="0.25">
      <c r="A69" s="2" t="s">
        <v>37</v>
      </c>
      <c r="B69" s="43">
        <f t="shared" ref="B69:G69" si="4">B62+B67</f>
        <v>0</v>
      </c>
      <c r="C69" s="6">
        <f t="shared" si="4"/>
        <v>0</v>
      </c>
      <c r="D69" s="6">
        <f t="shared" si="4"/>
        <v>0</v>
      </c>
      <c r="E69" s="6">
        <f t="shared" si="4"/>
        <v>0</v>
      </c>
      <c r="F69" s="6">
        <f t="shared" si="4"/>
        <v>0</v>
      </c>
      <c r="G69" s="6">
        <f t="shared" si="4"/>
        <v>0</v>
      </c>
      <c r="H69" s="6">
        <f t="shared" si="0"/>
        <v>0</v>
      </c>
    </row>
    <row r="70" spans="1:8" x14ac:dyDescent="0.25">
      <c r="A70" t="s">
        <v>38</v>
      </c>
      <c r="B70" s="43">
        <f t="shared" ref="B70:G70" si="5">B71-B69</f>
        <v>-0.3</v>
      </c>
      <c r="C70" s="6">
        <f t="shared" si="5"/>
        <v>0</v>
      </c>
      <c r="D70" s="6">
        <f t="shared" si="5"/>
        <v>-0.3</v>
      </c>
      <c r="E70" s="6">
        <f t="shared" si="5"/>
        <v>0</v>
      </c>
      <c r="F70" s="6">
        <f t="shared" si="5"/>
        <v>0</v>
      </c>
      <c r="G70" s="6">
        <f t="shared" si="5"/>
        <v>0</v>
      </c>
      <c r="H70" s="6">
        <f t="shared" si="0"/>
        <v>-0.3</v>
      </c>
    </row>
    <row r="71" spans="1:8" x14ac:dyDescent="0.25">
      <c r="A71" s="2" t="s">
        <v>39</v>
      </c>
      <c r="B71" s="43">
        <f t="shared" ref="B71:G71" si="6">B41</f>
        <v>-0.3</v>
      </c>
      <c r="C71" s="6">
        <f t="shared" si="6"/>
        <v>0</v>
      </c>
      <c r="D71" s="6">
        <f t="shared" si="6"/>
        <v>-0.3</v>
      </c>
      <c r="E71" s="6">
        <f t="shared" si="6"/>
        <v>0</v>
      </c>
      <c r="F71" s="6">
        <f t="shared" si="6"/>
        <v>0</v>
      </c>
      <c r="G71" s="6">
        <f t="shared" si="6"/>
        <v>0</v>
      </c>
      <c r="H71" s="6">
        <f t="shared" si="0"/>
        <v>-0.3</v>
      </c>
    </row>
  </sheetData>
  <customSheetViews>
    <customSheetView guid="{E68B3865-8D72-47E7-BE32-0FF7EB09E889}" scale="90" fitToPage="1">
      <pane xSplit="1" ySplit="7" topLeftCell="B8" activePane="bottomRight" state="frozen"/>
      <selection pane="bottomRight" activeCell="C11" sqref="C11"/>
      <pageMargins left="0.7" right="0.7" top="0.75" bottom="0.75" header="0.3" footer="0.3"/>
      <pageSetup scale="64" orientation="portrait" horizontalDpi="1200" r:id="rId1"/>
    </customSheetView>
    <customSheetView guid="{DE6E911D-85BF-467A-AA00-1E84C5349CF7}" scale="90" fitToPage="1">
      <pane xSplit="1" ySplit="7" topLeftCell="B8" activePane="bottomRight" state="frozen"/>
      <selection pane="bottomRight" activeCell="C11" sqref="C11"/>
      <pageMargins left="0.7" right="0.7" top="0.75" bottom="0.75" header="0.3" footer="0.3"/>
      <pageSetup scale="64" orientation="portrait" horizontalDpi="1200" r:id="rId2"/>
    </customSheetView>
    <customSheetView guid="{A6F79E61-D6A3-44FD-B4A4-4724DF74349B}" showPageBreaks="1" fitToPage="1">
      <selection activeCell="B12" sqref="B12"/>
      <pageMargins left="0.7" right="0.7" top="0.75" bottom="0.75" header="0.3" footer="0.3"/>
      <pageSetup scale="64" orientation="portrait" horizontalDpi="1200" r:id="rId3"/>
    </customSheetView>
    <customSheetView guid="{D62C3EC3-27D1-41F3-9A4E-06307CA202CE}" showPageBreaks="1" fitToPage="1" showRuler="0">
      <selection activeCell="E55" sqref="E55"/>
      <pageMargins left="0.7" right="0.7" top="0.75" bottom="0.75" header="0.3" footer="0.3"/>
      <pageSetup scale="73" orientation="portrait" horizontalDpi="1200" r:id="rId4"/>
      <headerFooter alignWithMargins="0"/>
    </customSheetView>
    <customSheetView guid="{EC03C3C8-7E57-47C6-8413-F484E8C46A0C}" showPageBreaks="1" fitToPage="1" topLeftCell="A33">
      <selection activeCell="E50" sqref="E50"/>
      <pageMargins left="0.7" right="0.7" top="0.75" bottom="0.75" header="0.3" footer="0.3"/>
      <pageSetup scale="73" orientation="portrait" horizontalDpi="1200" r:id="rId5"/>
    </customSheetView>
    <customSheetView guid="{2B2709E2-6DF4-4CC4-88D0-056FB306137C}" fitToPage="1">
      <pane xSplit="1" ySplit="7" topLeftCell="B41" activePane="bottomRight" state="frozen"/>
      <selection pane="bottomRight" activeCell="A70" sqref="A70"/>
      <pageMargins left="0.7" right="0.7" top="0.75" bottom="0.75" header="0.3" footer="0.3"/>
      <pageSetup scale="73" orientation="portrait" horizontalDpi="1200" r:id="rId6"/>
    </customSheetView>
  </customSheetViews>
  <phoneticPr fontId="0" type="noConversion"/>
  <pageMargins left="0.7" right="0.7" top="0.75" bottom="0.75" header="0.3" footer="0.3"/>
  <pageSetup scale="64" orientation="portrait" horizontalDpi="1200" r:id="rId7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1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W12" sqref="W12"/>
    </sheetView>
  </sheetViews>
  <sheetFormatPr defaultRowHeight="15" outlineLevelCol="1" x14ac:dyDescent="0.25"/>
  <cols>
    <col min="1" max="1" width="31" customWidth="1"/>
    <col min="2" max="3" width="10.85546875" hidden="1" customWidth="1"/>
    <col min="4" max="4" width="16.85546875" style="6" customWidth="1" outlineLevel="1"/>
    <col min="5" max="5" width="13.5703125" style="6" bestFit="1" customWidth="1" outlineLevel="1"/>
    <col min="6" max="6" width="13.5703125" style="6" bestFit="1" customWidth="1"/>
    <col min="7" max="7" width="16" style="43" customWidth="1" outlineLevel="1"/>
    <col min="8" max="8" width="13.5703125" style="6" bestFit="1" customWidth="1" outlineLevel="1"/>
    <col min="9" max="9" width="13.5703125" style="6" bestFit="1" customWidth="1"/>
    <col min="10" max="12" width="13.5703125" style="6" customWidth="1"/>
    <col min="13" max="13" width="12.7109375" style="6" bestFit="1" customWidth="1" outlineLevel="1"/>
    <col min="14" max="14" width="13.5703125" style="6" bestFit="1" customWidth="1" outlineLevel="1"/>
    <col min="15" max="15" width="13.5703125" style="6" bestFit="1" customWidth="1"/>
    <col min="16" max="16" width="12.7109375" style="6" bestFit="1" customWidth="1" outlineLevel="1"/>
    <col min="17" max="17" width="13.5703125" style="6" bestFit="1" customWidth="1" outlineLevel="1"/>
    <col min="18" max="18" width="13.5703125" style="6" bestFit="1" customWidth="1"/>
    <col min="19" max="19" width="12.7109375" style="6" bestFit="1" customWidth="1" outlineLevel="1"/>
    <col min="20" max="20" width="13.5703125" style="6" bestFit="1" customWidth="1" outlineLevel="1"/>
    <col min="21" max="21" width="13.5703125" style="6" bestFit="1" customWidth="1"/>
    <col min="22" max="22" width="12.7109375" style="6" bestFit="1" customWidth="1" outlineLevel="1"/>
    <col min="23" max="23" width="13.5703125" style="6" bestFit="1" customWidth="1" outlineLevel="1"/>
    <col min="24" max="24" width="13.5703125" style="6" bestFit="1" customWidth="1"/>
    <col min="25" max="25" width="18.42578125" style="6" customWidth="1"/>
    <col min="26" max="26" width="11.85546875" style="6" customWidth="1"/>
    <col min="28" max="28" width="14" style="6" customWidth="1"/>
    <col min="29" max="30" width="11.140625" style="6" bestFit="1" customWidth="1"/>
    <col min="31" max="31" width="9.140625" style="6"/>
    <col min="32" max="32" width="13.5703125" style="6" bestFit="1" customWidth="1"/>
    <col min="33" max="33" width="12.7109375" bestFit="1" customWidth="1"/>
  </cols>
  <sheetData>
    <row r="1" spans="1:32" ht="23.25" x14ac:dyDescent="0.35">
      <c r="A1" s="5" t="s">
        <v>104</v>
      </c>
      <c r="B1" s="5"/>
      <c r="C1" s="5"/>
    </row>
    <row r="2" spans="1:32" x14ac:dyDescent="0.25">
      <c r="A2" t="s">
        <v>1</v>
      </c>
    </row>
    <row r="3" spans="1:32" x14ac:dyDescent="0.25">
      <c r="A3" s="1">
        <f>'OEO-Weatherization'!A3</f>
        <v>43830</v>
      </c>
      <c r="B3" s="1"/>
      <c r="C3" s="1"/>
    </row>
    <row r="4" spans="1:32" x14ac:dyDescent="0.25">
      <c r="A4" s="1"/>
      <c r="B4" s="1"/>
      <c r="C4" s="1"/>
    </row>
    <row r="5" spans="1:32" ht="45" x14ac:dyDescent="0.25">
      <c r="A5" s="1"/>
      <c r="B5" s="89" t="s">
        <v>386</v>
      </c>
      <c r="C5" s="89"/>
      <c r="D5" s="7" t="s">
        <v>97</v>
      </c>
      <c r="E5" s="7" t="s">
        <v>47</v>
      </c>
      <c r="F5" s="7" t="s">
        <v>98</v>
      </c>
      <c r="G5" s="44" t="s">
        <v>99</v>
      </c>
      <c r="H5" s="7" t="s">
        <v>47</v>
      </c>
      <c r="I5" s="7" t="s">
        <v>98</v>
      </c>
      <c r="J5" s="44" t="s">
        <v>315</v>
      </c>
      <c r="K5" s="7" t="s">
        <v>47</v>
      </c>
      <c r="L5" s="7" t="s">
        <v>98</v>
      </c>
      <c r="M5" s="7" t="s">
        <v>100</v>
      </c>
      <c r="N5" s="7" t="s">
        <v>47</v>
      </c>
      <c r="O5" s="7" t="s">
        <v>98</v>
      </c>
      <c r="P5" s="7" t="s">
        <v>242</v>
      </c>
      <c r="Q5" s="7" t="s">
        <v>47</v>
      </c>
      <c r="R5" s="7" t="s">
        <v>98</v>
      </c>
      <c r="S5" s="7" t="s">
        <v>101</v>
      </c>
      <c r="T5" s="7" t="s">
        <v>47</v>
      </c>
      <c r="U5" s="7" t="s">
        <v>98</v>
      </c>
      <c r="V5" s="7" t="s">
        <v>102</v>
      </c>
      <c r="W5" s="7" t="s">
        <v>47</v>
      </c>
      <c r="X5" s="7" t="s">
        <v>98</v>
      </c>
      <c r="Y5" s="7" t="s">
        <v>103</v>
      </c>
      <c r="Z5" s="7"/>
      <c r="AB5" s="7"/>
      <c r="AC5" s="7"/>
      <c r="AD5" s="7"/>
      <c r="AE5" s="7"/>
      <c r="AF5" s="7"/>
    </row>
    <row r="6" spans="1:32" x14ac:dyDescent="0.25">
      <c r="Y6" s="7"/>
    </row>
    <row r="7" spans="1:32" x14ac:dyDescent="0.25">
      <c r="A7" s="3" t="s">
        <v>2</v>
      </c>
      <c r="B7" s="3"/>
      <c r="C7" s="90"/>
      <c r="Y7" s="7"/>
    </row>
    <row r="8" spans="1:32" x14ac:dyDescent="0.25">
      <c r="A8" s="4" t="s">
        <v>3</v>
      </c>
      <c r="B8" s="21"/>
      <c r="C8" s="25"/>
      <c r="D8" s="20">
        <v>655108.05000000005</v>
      </c>
      <c r="E8" s="20"/>
      <c r="F8" s="6">
        <f>D8+E8</f>
        <v>655108.05000000005</v>
      </c>
      <c r="G8" s="46">
        <v>15160.38</v>
      </c>
      <c r="H8" s="20"/>
      <c r="I8" s="69">
        <f>G8+H8</f>
        <v>15160.38</v>
      </c>
      <c r="J8" s="20"/>
      <c r="K8" s="20"/>
      <c r="L8" s="6">
        <f>J8+K8</f>
        <v>0</v>
      </c>
      <c r="M8" s="20">
        <v>40072.080000000002</v>
      </c>
      <c r="N8" s="20"/>
      <c r="O8" s="6">
        <f t="shared" ref="O8:O13" si="0">M8+N8</f>
        <v>40072.080000000002</v>
      </c>
      <c r="P8" s="20">
        <v>-11149.83</v>
      </c>
      <c r="Q8" s="20"/>
      <c r="R8" s="6">
        <f t="shared" ref="R8:R13" si="1">P8+Q8</f>
        <v>-11149.83</v>
      </c>
      <c r="S8" s="20"/>
      <c r="T8" s="20"/>
      <c r="U8" s="6">
        <f t="shared" ref="U8:U13" si="2">S8+T8</f>
        <v>0</v>
      </c>
      <c r="V8" s="20">
        <v>30361.37</v>
      </c>
      <c r="W8" s="20"/>
      <c r="X8" s="6">
        <f t="shared" ref="X8:X13" si="3">V8+W8</f>
        <v>30361.37</v>
      </c>
      <c r="Y8" s="26">
        <f>B8+F8+I8+O8+R8+U8+X8+L8</f>
        <v>729552.05</v>
      </c>
    </row>
    <row r="9" spans="1:32" x14ac:dyDescent="0.25">
      <c r="A9" s="4" t="s">
        <v>4</v>
      </c>
      <c r="B9" s="21"/>
      <c r="C9" s="25"/>
      <c r="D9" s="20"/>
      <c r="E9" s="20"/>
      <c r="F9" s="6">
        <f t="shared" ref="F9:F67" si="4">D9+E9</f>
        <v>0</v>
      </c>
      <c r="G9" s="46"/>
      <c r="H9" s="20"/>
      <c r="I9" s="6">
        <f t="shared" ref="I9:I67" si="5">G9+H9</f>
        <v>0</v>
      </c>
      <c r="J9" s="20"/>
      <c r="K9" s="20"/>
      <c r="L9" s="6">
        <f t="shared" ref="L9:L71" si="6">J9+K9</f>
        <v>0</v>
      </c>
      <c r="M9" s="20">
        <v>9114.66</v>
      </c>
      <c r="N9" s="20"/>
      <c r="O9" s="6">
        <f t="shared" si="0"/>
        <v>9114.66</v>
      </c>
      <c r="P9" s="20">
        <f>12668.97-12668.97</f>
        <v>0</v>
      </c>
      <c r="Q9" s="20"/>
      <c r="R9" s="6">
        <f t="shared" si="1"/>
        <v>0</v>
      </c>
      <c r="S9" s="20"/>
      <c r="T9" s="20"/>
      <c r="U9" s="6">
        <f t="shared" si="2"/>
        <v>0</v>
      </c>
      <c r="V9" s="20"/>
      <c r="W9" s="20"/>
      <c r="X9" s="6">
        <f t="shared" si="3"/>
        <v>0</v>
      </c>
      <c r="Y9" s="26">
        <f t="shared" ref="Y9:Y67" si="7">B9+F9+I9+O9+R9+U9+X9+L9</f>
        <v>9114.66</v>
      </c>
    </row>
    <row r="10" spans="1:32" x14ac:dyDescent="0.25">
      <c r="A10" s="4" t="s">
        <v>6</v>
      </c>
      <c r="B10" s="21"/>
      <c r="C10" s="25"/>
      <c r="D10" s="20">
        <v>3578.47</v>
      </c>
      <c r="E10" s="20"/>
      <c r="F10" s="6">
        <f t="shared" si="4"/>
        <v>3578.47</v>
      </c>
      <c r="G10" s="46">
        <v>861.44</v>
      </c>
      <c r="H10" s="20"/>
      <c r="I10" s="6">
        <f t="shared" si="5"/>
        <v>861.44</v>
      </c>
      <c r="J10" s="20"/>
      <c r="K10" s="20"/>
      <c r="L10" s="6">
        <f t="shared" si="6"/>
        <v>0</v>
      </c>
      <c r="M10" s="20"/>
      <c r="N10" s="20"/>
      <c r="O10" s="6">
        <f t="shared" si="0"/>
        <v>0</v>
      </c>
      <c r="P10" s="20"/>
      <c r="Q10" s="20"/>
      <c r="R10" s="6">
        <f t="shared" si="1"/>
        <v>0</v>
      </c>
      <c r="S10" s="20"/>
      <c r="T10" s="20"/>
      <c r="U10" s="6">
        <f t="shared" si="2"/>
        <v>0</v>
      </c>
      <c r="V10" s="20">
        <v>341.42</v>
      </c>
      <c r="W10" s="20"/>
      <c r="X10" s="6">
        <f t="shared" si="3"/>
        <v>341.42</v>
      </c>
      <c r="Y10" s="26">
        <f t="shared" si="7"/>
        <v>4781.33</v>
      </c>
    </row>
    <row r="11" spans="1:32" x14ac:dyDescent="0.25">
      <c r="A11" s="4" t="s">
        <v>5</v>
      </c>
      <c r="B11" s="21"/>
      <c r="C11" s="25"/>
      <c r="D11" s="20"/>
      <c r="E11" s="20"/>
      <c r="F11" s="6">
        <f t="shared" si="4"/>
        <v>0</v>
      </c>
      <c r="G11" s="46"/>
      <c r="H11" s="20"/>
      <c r="I11" s="6">
        <f t="shared" si="5"/>
        <v>0</v>
      </c>
      <c r="J11" s="20"/>
      <c r="K11" s="20"/>
      <c r="L11" s="6">
        <f t="shared" si="6"/>
        <v>0</v>
      </c>
      <c r="M11" s="20"/>
      <c r="N11" s="20"/>
      <c r="O11" s="6">
        <f t="shared" si="0"/>
        <v>0</v>
      </c>
      <c r="P11" s="20">
        <v>12668.97</v>
      </c>
      <c r="Q11" s="20"/>
      <c r="R11" s="6">
        <f t="shared" si="1"/>
        <v>12668.97</v>
      </c>
      <c r="S11" s="20"/>
      <c r="T11" s="20"/>
      <c r="U11" s="6">
        <f t="shared" si="2"/>
        <v>0</v>
      </c>
      <c r="V11" s="20"/>
      <c r="W11" s="20"/>
      <c r="X11" s="6">
        <f t="shared" si="3"/>
        <v>0</v>
      </c>
      <c r="Y11" s="26">
        <f t="shared" si="7"/>
        <v>12668.97</v>
      </c>
    </row>
    <row r="12" spans="1:32" x14ac:dyDescent="0.25">
      <c r="A12" s="4" t="s">
        <v>61</v>
      </c>
      <c r="B12" s="21"/>
      <c r="C12" s="25"/>
      <c r="D12" s="20">
        <f>3578.47-3578.47</f>
        <v>0</v>
      </c>
      <c r="E12" s="20"/>
      <c r="F12" s="6">
        <f t="shared" si="4"/>
        <v>0</v>
      </c>
      <c r="G12" s="46">
        <f>861.44-861.44</f>
        <v>0</v>
      </c>
      <c r="H12" s="20"/>
      <c r="I12" s="6">
        <f t="shared" si="5"/>
        <v>0</v>
      </c>
      <c r="J12" s="20"/>
      <c r="K12" s="20"/>
      <c r="L12" s="6">
        <f t="shared" si="6"/>
        <v>0</v>
      </c>
      <c r="M12" s="20"/>
      <c r="N12" s="20"/>
      <c r="O12" s="6">
        <f t="shared" si="0"/>
        <v>0</v>
      </c>
      <c r="P12" s="20"/>
      <c r="Q12" s="20"/>
      <c r="R12" s="6">
        <f t="shared" si="1"/>
        <v>0</v>
      </c>
      <c r="S12" s="20"/>
      <c r="T12" s="20"/>
      <c r="U12" s="6">
        <f t="shared" si="2"/>
        <v>0</v>
      </c>
      <c r="V12" s="20">
        <f>341.42-341.42</f>
        <v>0</v>
      </c>
      <c r="W12" s="20"/>
      <c r="X12" s="6">
        <f t="shared" si="3"/>
        <v>0</v>
      </c>
      <c r="Y12" s="26">
        <f t="shared" si="7"/>
        <v>0</v>
      </c>
    </row>
    <row r="13" spans="1:32" x14ac:dyDescent="0.25">
      <c r="A13" s="2" t="s">
        <v>7</v>
      </c>
      <c r="B13" s="6">
        <f>SUM(B8:B12)</f>
        <v>0</v>
      </c>
      <c r="C13" s="2"/>
      <c r="D13" s="6">
        <f>SUM(D8:D12)</f>
        <v>658686.52</v>
      </c>
      <c r="E13" s="6">
        <f>SUM(E8:E12)</f>
        <v>0</v>
      </c>
      <c r="F13" s="6">
        <f t="shared" si="4"/>
        <v>658686.52</v>
      </c>
      <c r="G13" s="43">
        <f>SUM(G8:G12)</f>
        <v>16021.82</v>
      </c>
      <c r="H13" s="6">
        <f>SUM(H8:H12)</f>
        <v>0</v>
      </c>
      <c r="I13" s="6">
        <f t="shared" si="5"/>
        <v>16021.82</v>
      </c>
      <c r="J13" s="6">
        <f>SUM(J8:J12)</f>
        <v>0</v>
      </c>
      <c r="K13" s="6">
        <f>SUM(K8:K12)</f>
        <v>0</v>
      </c>
      <c r="L13" s="6">
        <f t="shared" si="6"/>
        <v>0</v>
      </c>
      <c r="M13" s="6">
        <f>SUM(M8:M12)</f>
        <v>49186.740000000005</v>
      </c>
      <c r="N13" s="6">
        <f>SUM(N8:N12)</f>
        <v>0</v>
      </c>
      <c r="O13" s="6">
        <f t="shared" si="0"/>
        <v>49186.740000000005</v>
      </c>
      <c r="P13" s="6">
        <f>SUM(P8:P12)</f>
        <v>1519.1399999999994</v>
      </c>
      <c r="Q13" s="6">
        <f>SUM(Q8:Q12)</f>
        <v>0</v>
      </c>
      <c r="R13" s="6">
        <f t="shared" si="1"/>
        <v>1519.1399999999994</v>
      </c>
      <c r="S13" s="6">
        <f>SUM(S8:S12)</f>
        <v>0</v>
      </c>
      <c r="T13" s="6">
        <f>SUM(T8:T12)</f>
        <v>0</v>
      </c>
      <c r="U13" s="6">
        <f t="shared" si="2"/>
        <v>0</v>
      </c>
      <c r="V13" s="6">
        <f>SUM(V8:V12)</f>
        <v>30702.789999999997</v>
      </c>
      <c r="W13" s="6">
        <f>SUM(W8:W12)</f>
        <v>0</v>
      </c>
      <c r="X13" s="6">
        <f t="shared" si="3"/>
        <v>30702.789999999997</v>
      </c>
      <c r="Y13" s="26">
        <f t="shared" si="7"/>
        <v>756117.01</v>
      </c>
    </row>
    <row r="14" spans="1:32" x14ac:dyDescent="0.25">
      <c r="Y14" s="26"/>
    </row>
    <row r="15" spans="1:32" x14ac:dyDescent="0.25">
      <c r="A15" s="3" t="s">
        <v>8</v>
      </c>
      <c r="B15" s="3"/>
      <c r="C15" s="3"/>
      <c r="Y15" s="26"/>
    </row>
    <row r="16" spans="1:32" x14ac:dyDescent="0.25">
      <c r="A16" s="4" t="s">
        <v>9</v>
      </c>
      <c r="B16" s="21"/>
      <c r="C16" s="4"/>
      <c r="D16" s="20">
        <v>29498.21</v>
      </c>
      <c r="E16" s="20"/>
      <c r="F16" s="6">
        <f t="shared" si="4"/>
        <v>29498.21</v>
      </c>
      <c r="G16" s="46">
        <v>2072.4299999999998</v>
      </c>
      <c r="H16" s="20"/>
      <c r="I16" s="6">
        <f t="shared" si="5"/>
        <v>2072.4299999999998</v>
      </c>
      <c r="J16" s="20"/>
      <c r="K16" s="20"/>
      <c r="L16" s="6">
        <f t="shared" si="6"/>
        <v>0</v>
      </c>
      <c r="M16" s="20">
        <v>27948.41</v>
      </c>
      <c r="N16" s="20"/>
      <c r="O16" s="6">
        <f>M16+N16</f>
        <v>27948.41</v>
      </c>
      <c r="P16" s="20"/>
      <c r="Q16" s="20"/>
      <c r="R16" s="6">
        <f>P16+Q16</f>
        <v>0</v>
      </c>
      <c r="S16" s="20"/>
      <c r="T16" s="20"/>
      <c r="U16" s="6">
        <f>S16+T16</f>
        <v>0</v>
      </c>
      <c r="V16" s="20">
        <v>20</v>
      </c>
      <c r="W16" s="20"/>
      <c r="X16" s="6">
        <f>V16+W16</f>
        <v>20</v>
      </c>
      <c r="Y16" s="26">
        <f t="shared" si="7"/>
        <v>59539.05</v>
      </c>
    </row>
    <row r="17" spans="1:25" x14ac:dyDescent="0.25">
      <c r="A17" s="4" t="s">
        <v>10</v>
      </c>
      <c r="B17" s="21"/>
      <c r="C17" s="4"/>
      <c r="D17" s="20">
        <v>12189.07</v>
      </c>
      <c r="E17" s="20"/>
      <c r="F17" s="6">
        <f t="shared" si="4"/>
        <v>12189.07</v>
      </c>
      <c r="G17" s="46">
        <v>1214.3</v>
      </c>
      <c r="H17" s="20"/>
      <c r="I17" s="6">
        <f t="shared" si="5"/>
        <v>1214.3</v>
      </c>
      <c r="J17" s="20"/>
      <c r="K17" s="20"/>
      <c r="L17" s="6">
        <f t="shared" si="6"/>
        <v>0</v>
      </c>
      <c r="M17" s="20">
        <v>304.04000000000002</v>
      </c>
      <c r="N17" s="20"/>
      <c r="O17" s="6">
        <f>M17+N17</f>
        <v>304.04000000000002</v>
      </c>
      <c r="P17" s="20">
        <v>1520.35</v>
      </c>
      <c r="Q17" s="20"/>
      <c r="R17" s="6">
        <f>P17+Q17</f>
        <v>1520.35</v>
      </c>
      <c r="S17" s="20"/>
      <c r="T17" s="20"/>
      <c r="U17" s="6">
        <f>S17+T17</f>
        <v>0</v>
      </c>
      <c r="V17" s="20"/>
      <c r="W17" s="20"/>
      <c r="X17" s="6">
        <f>V17+W17</f>
        <v>0</v>
      </c>
      <c r="Y17" s="26">
        <f t="shared" si="7"/>
        <v>15227.76</v>
      </c>
    </row>
    <row r="18" spans="1:25" x14ac:dyDescent="0.25">
      <c r="A18" s="4" t="s">
        <v>190</v>
      </c>
      <c r="B18" s="21"/>
      <c r="C18" s="4"/>
      <c r="D18" s="20"/>
      <c r="E18" s="20"/>
      <c r="F18" s="6">
        <f t="shared" si="4"/>
        <v>0</v>
      </c>
      <c r="G18" s="46"/>
      <c r="H18" s="20"/>
      <c r="I18" s="6">
        <f t="shared" si="5"/>
        <v>0</v>
      </c>
      <c r="J18" s="20"/>
      <c r="K18" s="20"/>
      <c r="L18" s="6">
        <f t="shared" si="6"/>
        <v>0</v>
      </c>
      <c r="M18" s="20"/>
      <c r="N18" s="20"/>
      <c r="O18" s="6">
        <f>M18+N18</f>
        <v>0</v>
      </c>
      <c r="P18" s="20"/>
      <c r="Q18" s="20"/>
      <c r="R18" s="6">
        <f>P18+Q18</f>
        <v>0</v>
      </c>
      <c r="S18" s="20"/>
      <c r="T18" s="20"/>
      <c r="U18" s="6">
        <f>S18+T18</f>
        <v>0</v>
      </c>
      <c r="V18" s="20"/>
      <c r="W18" s="20"/>
      <c r="X18" s="6">
        <f>V18+W18</f>
        <v>0</v>
      </c>
      <c r="Y18" s="26">
        <f t="shared" si="7"/>
        <v>0</v>
      </c>
    </row>
    <row r="19" spans="1:25" x14ac:dyDescent="0.25">
      <c r="A19" s="4" t="s">
        <v>12</v>
      </c>
      <c r="B19" s="21"/>
      <c r="C19" s="4"/>
      <c r="D19" s="20">
        <v>616997.4</v>
      </c>
      <c r="E19" s="20"/>
      <c r="F19" s="6">
        <f t="shared" si="4"/>
        <v>616997.4</v>
      </c>
      <c r="G19" s="46">
        <v>12737.23</v>
      </c>
      <c r="H19" s="20"/>
      <c r="I19" s="6">
        <f t="shared" si="5"/>
        <v>12737.23</v>
      </c>
      <c r="J19" s="20"/>
      <c r="K19" s="20"/>
      <c r="L19" s="6">
        <f t="shared" si="6"/>
        <v>0</v>
      </c>
      <c r="M19" s="20">
        <v>20933.14</v>
      </c>
      <c r="N19" s="20"/>
      <c r="O19" s="6">
        <f>M19+N19</f>
        <v>20933.14</v>
      </c>
      <c r="P19" s="20"/>
      <c r="Q19" s="20"/>
      <c r="R19" s="6">
        <f>P19+Q19</f>
        <v>0</v>
      </c>
      <c r="S19" s="20"/>
      <c r="T19" s="20"/>
      <c r="U19" s="6">
        <f>S19+T19</f>
        <v>0</v>
      </c>
      <c r="V19" s="20">
        <v>17495.169999999998</v>
      </c>
      <c r="W19" s="20"/>
      <c r="X19" s="6">
        <f>V19+W19</f>
        <v>17495.169999999998</v>
      </c>
      <c r="Y19" s="26">
        <f t="shared" si="7"/>
        <v>668162.94000000006</v>
      </c>
    </row>
    <row r="20" spans="1:25" x14ac:dyDescent="0.25">
      <c r="A20" s="2" t="s">
        <v>13</v>
      </c>
      <c r="B20" s="6">
        <f>SUM(B16:B19)</f>
        <v>0</v>
      </c>
      <c r="C20" s="2"/>
      <c r="D20" s="6">
        <f>SUM(D16:D19)</f>
        <v>658684.68000000005</v>
      </c>
      <c r="E20" s="6">
        <f>SUM(E16:E19)</f>
        <v>0</v>
      </c>
      <c r="F20" s="6">
        <f t="shared" si="4"/>
        <v>658684.68000000005</v>
      </c>
      <c r="G20" s="43">
        <f>SUM(G16:G19)</f>
        <v>16023.96</v>
      </c>
      <c r="H20" s="6">
        <f>SUM(H16:H19)</f>
        <v>0</v>
      </c>
      <c r="I20" s="6">
        <f t="shared" si="5"/>
        <v>16023.96</v>
      </c>
      <c r="J20" s="6">
        <f>SUM(J16:J19)</f>
        <v>0</v>
      </c>
      <c r="K20" s="6">
        <f>SUM(K16:K19)</f>
        <v>0</v>
      </c>
      <c r="L20" s="6">
        <f t="shared" si="6"/>
        <v>0</v>
      </c>
      <c r="M20" s="6">
        <f>SUM(M16:M19)</f>
        <v>49185.59</v>
      </c>
      <c r="N20" s="6">
        <f>SUM(N16:N19)</f>
        <v>0</v>
      </c>
      <c r="O20" s="6">
        <f>M20+N20</f>
        <v>49185.59</v>
      </c>
      <c r="P20" s="6">
        <f>SUM(P16:P19)</f>
        <v>1520.35</v>
      </c>
      <c r="Q20" s="6">
        <f>SUM(Q16:Q19)</f>
        <v>0</v>
      </c>
      <c r="R20" s="6">
        <f>P20+Q20</f>
        <v>1520.35</v>
      </c>
      <c r="S20" s="6">
        <f>SUM(S16:S19)</f>
        <v>0</v>
      </c>
      <c r="T20" s="6">
        <f>SUM(T16:T19)</f>
        <v>0</v>
      </c>
      <c r="U20" s="6">
        <f>S20+T20</f>
        <v>0</v>
      </c>
      <c r="V20" s="6">
        <f>SUM(V16:V19)</f>
        <v>17515.169999999998</v>
      </c>
      <c r="W20" s="6">
        <f>SUM(W16:W19)</f>
        <v>0</v>
      </c>
      <c r="X20" s="6">
        <f>V20+W20</f>
        <v>17515.169999999998</v>
      </c>
      <c r="Y20" s="26">
        <f t="shared" si="7"/>
        <v>742929.75</v>
      </c>
    </row>
    <row r="21" spans="1:25" x14ac:dyDescent="0.25">
      <c r="Y21" s="26"/>
    </row>
    <row r="22" spans="1:25" x14ac:dyDescent="0.25">
      <c r="A22" s="3" t="s">
        <v>14</v>
      </c>
      <c r="B22" s="3"/>
      <c r="C22" s="3"/>
      <c r="Y22" s="26"/>
    </row>
    <row r="23" spans="1:25" x14ac:dyDescent="0.25">
      <c r="A23" s="78" t="s">
        <v>370</v>
      </c>
      <c r="B23" s="78"/>
      <c r="C23" s="78"/>
      <c r="D23" s="55"/>
      <c r="E23" s="55"/>
      <c r="F23" s="6">
        <f t="shared" si="4"/>
        <v>0</v>
      </c>
      <c r="G23" s="55"/>
      <c r="H23" s="55"/>
      <c r="I23" s="6">
        <f t="shared" si="5"/>
        <v>0</v>
      </c>
      <c r="J23" s="55"/>
      <c r="K23" s="55"/>
      <c r="L23" s="6">
        <f t="shared" si="6"/>
        <v>0</v>
      </c>
      <c r="M23" s="55"/>
      <c r="N23" s="55"/>
      <c r="O23" s="6">
        <f>M23+N23</f>
        <v>0</v>
      </c>
      <c r="P23" s="55"/>
      <c r="Q23" s="55"/>
      <c r="R23" s="6">
        <f>P23+Q23</f>
        <v>0</v>
      </c>
      <c r="S23" s="55"/>
      <c r="T23" s="55"/>
      <c r="U23" s="6">
        <f>S23+T23</f>
        <v>0</v>
      </c>
      <c r="V23" s="55"/>
      <c r="W23" s="55"/>
      <c r="X23" s="55">
        <f>V23+W23</f>
        <v>0</v>
      </c>
      <c r="Y23" s="26">
        <f t="shared" si="7"/>
        <v>0</v>
      </c>
    </row>
    <row r="24" spans="1:25" x14ac:dyDescent="0.25">
      <c r="A24" s="77" t="s">
        <v>332</v>
      </c>
      <c r="B24" s="77"/>
      <c r="C24" s="77"/>
      <c r="D24" s="55"/>
      <c r="E24" s="55"/>
      <c r="F24" s="6">
        <f t="shared" si="4"/>
        <v>0</v>
      </c>
      <c r="G24" s="55"/>
      <c r="H24" s="55"/>
      <c r="I24" s="6">
        <f t="shared" si="5"/>
        <v>0</v>
      </c>
      <c r="J24" s="55"/>
      <c r="K24" s="55"/>
      <c r="L24" s="6">
        <f t="shared" si="6"/>
        <v>0</v>
      </c>
      <c r="M24" s="55"/>
      <c r="N24" s="55"/>
      <c r="O24" s="6">
        <f t="shared" ref="O24:O40" si="8">M24+N24</f>
        <v>0</v>
      </c>
      <c r="P24" s="55"/>
      <c r="Q24" s="55"/>
      <c r="R24" s="6">
        <f t="shared" ref="R24:R40" si="9">P24+Q24</f>
        <v>0</v>
      </c>
      <c r="S24" s="55"/>
      <c r="T24" s="55"/>
      <c r="U24" s="6">
        <f t="shared" ref="U24:U39" si="10">S24+T24</f>
        <v>0</v>
      </c>
      <c r="V24" s="55"/>
      <c r="W24" s="55"/>
      <c r="X24" s="55">
        <f t="shared" ref="X24:X39" si="11">V24+W24</f>
        <v>0</v>
      </c>
      <c r="Y24" s="26">
        <f t="shared" si="7"/>
        <v>0</v>
      </c>
    </row>
    <row r="25" spans="1:25" x14ac:dyDescent="0.25">
      <c r="A25" s="77" t="s">
        <v>31</v>
      </c>
      <c r="B25" s="77"/>
      <c r="C25" s="77"/>
      <c r="D25" s="55"/>
      <c r="E25" s="55"/>
      <c r="F25" s="6">
        <f t="shared" si="4"/>
        <v>0</v>
      </c>
      <c r="G25" s="55"/>
      <c r="H25" s="55"/>
      <c r="I25" s="6">
        <f t="shared" si="5"/>
        <v>0</v>
      </c>
      <c r="J25" s="55"/>
      <c r="K25" s="55"/>
      <c r="L25" s="6">
        <f t="shared" si="6"/>
        <v>0</v>
      </c>
      <c r="M25" s="55"/>
      <c r="N25" s="55"/>
      <c r="O25" s="6">
        <f t="shared" si="8"/>
        <v>0</v>
      </c>
      <c r="P25" s="55"/>
      <c r="Q25" s="55"/>
      <c r="R25" s="6">
        <f t="shared" si="9"/>
        <v>0</v>
      </c>
      <c r="S25" s="55"/>
      <c r="T25" s="55"/>
      <c r="U25" s="6">
        <f t="shared" si="10"/>
        <v>0</v>
      </c>
      <c r="V25" s="55"/>
      <c r="W25" s="55"/>
      <c r="X25" s="55">
        <f t="shared" si="11"/>
        <v>0</v>
      </c>
      <c r="Y25" s="26">
        <f t="shared" si="7"/>
        <v>0</v>
      </c>
    </row>
    <row r="26" spans="1:25" x14ac:dyDescent="0.25">
      <c r="A26" s="77" t="s">
        <v>333</v>
      </c>
      <c r="B26" s="77"/>
      <c r="C26" s="77"/>
      <c r="D26" s="55"/>
      <c r="E26" s="55"/>
      <c r="F26" s="6">
        <f t="shared" si="4"/>
        <v>0</v>
      </c>
      <c r="G26" s="55"/>
      <c r="H26" s="55"/>
      <c r="I26" s="6">
        <f t="shared" si="5"/>
        <v>0</v>
      </c>
      <c r="J26" s="55"/>
      <c r="K26" s="55"/>
      <c r="L26" s="6">
        <f t="shared" si="6"/>
        <v>0</v>
      </c>
      <c r="M26" s="55"/>
      <c r="N26" s="55"/>
      <c r="O26" s="6">
        <f t="shared" si="8"/>
        <v>0</v>
      </c>
      <c r="P26" s="55"/>
      <c r="Q26" s="55"/>
      <c r="R26" s="6">
        <f t="shared" si="9"/>
        <v>0</v>
      </c>
      <c r="S26" s="55"/>
      <c r="T26" s="55"/>
      <c r="U26" s="6">
        <f t="shared" si="10"/>
        <v>0</v>
      </c>
      <c r="V26" s="55"/>
      <c r="W26" s="55"/>
      <c r="X26" s="55">
        <f t="shared" si="11"/>
        <v>0</v>
      </c>
      <c r="Y26" s="26">
        <f t="shared" si="7"/>
        <v>0</v>
      </c>
    </row>
    <row r="27" spans="1:25" x14ac:dyDescent="0.25">
      <c r="A27" s="77" t="s">
        <v>334</v>
      </c>
      <c r="B27" s="77"/>
      <c r="C27" s="77"/>
      <c r="D27" s="55"/>
      <c r="E27" s="55"/>
      <c r="F27" s="6">
        <f t="shared" si="4"/>
        <v>0</v>
      </c>
      <c r="G27" s="55"/>
      <c r="H27" s="55"/>
      <c r="I27" s="6">
        <f t="shared" si="5"/>
        <v>0</v>
      </c>
      <c r="J27" s="55"/>
      <c r="K27" s="55"/>
      <c r="L27" s="6">
        <f t="shared" si="6"/>
        <v>0</v>
      </c>
      <c r="M27" s="55"/>
      <c r="N27" s="55"/>
      <c r="O27" s="6">
        <f t="shared" si="8"/>
        <v>0</v>
      </c>
      <c r="P27" s="55"/>
      <c r="Q27" s="55"/>
      <c r="R27" s="6">
        <f t="shared" si="9"/>
        <v>0</v>
      </c>
      <c r="S27" s="55"/>
      <c r="T27" s="55"/>
      <c r="U27" s="6">
        <f t="shared" si="10"/>
        <v>0</v>
      </c>
      <c r="V27" s="55"/>
      <c r="W27" s="55"/>
      <c r="X27" s="55">
        <f t="shared" si="11"/>
        <v>0</v>
      </c>
      <c r="Y27" s="26">
        <f t="shared" si="7"/>
        <v>0</v>
      </c>
    </row>
    <row r="28" spans="1:25" x14ac:dyDescent="0.25">
      <c r="A28" s="77" t="s">
        <v>335</v>
      </c>
      <c r="B28" s="77"/>
      <c r="C28" s="77"/>
      <c r="D28" s="55"/>
      <c r="E28" s="55"/>
      <c r="F28" s="6">
        <f t="shared" si="4"/>
        <v>0</v>
      </c>
      <c r="G28" s="55"/>
      <c r="H28" s="55"/>
      <c r="I28" s="6">
        <f t="shared" si="5"/>
        <v>0</v>
      </c>
      <c r="J28" s="55"/>
      <c r="K28" s="55"/>
      <c r="L28" s="6">
        <f t="shared" si="6"/>
        <v>0</v>
      </c>
      <c r="M28" s="55"/>
      <c r="N28" s="55"/>
      <c r="O28" s="6">
        <f t="shared" si="8"/>
        <v>0</v>
      </c>
      <c r="P28" s="55"/>
      <c r="Q28" s="55"/>
      <c r="R28" s="6">
        <f t="shared" si="9"/>
        <v>0</v>
      </c>
      <c r="S28" s="55"/>
      <c r="T28" s="55"/>
      <c r="U28" s="6">
        <f t="shared" si="10"/>
        <v>0</v>
      </c>
      <c r="V28" s="55"/>
      <c r="W28" s="55"/>
      <c r="X28" s="55">
        <f t="shared" si="11"/>
        <v>0</v>
      </c>
      <c r="Y28" s="26">
        <f t="shared" si="7"/>
        <v>0</v>
      </c>
    </row>
    <row r="29" spans="1:25" x14ac:dyDescent="0.25">
      <c r="A29" s="77" t="s">
        <v>336</v>
      </c>
      <c r="B29" s="77"/>
      <c r="C29" s="77"/>
      <c r="D29" s="55"/>
      <c r="E29" s="55"/>
      <c r="F29" s="6">
        <f t="shared" si="4"/>
        <v>0</v>
      </c>
      <c r="G29" s="55"/>
      <c r="H29" s="55"/>
      <c r="I29" s="6">
        <f t="shared" si="5"/>
        <v>0</v>
      </c>
      <c r="J29" s="55"/>
      <c r="K29" s="55"/>
      <c r="L29" s="6">
        <f t="shared" si="6"/>
        <v>0</v>
      </c>
      <c r="M29" s="55"/>
      <c r="N29" s="55"/>
      <c r="O29" s="6">
        <f t="shared" si="8"/>
        <v>0</v>
      </c>
      <c r="P29" s="55"/>
      <c r="Q29" s="55"/>
      <c r="R29" s="6">
        <f t="shared" si="9"/>
        <v>0</v>
      </c>
      <c r="S29" s="55"/>
      <c r="T29" s="55"/>
      <c r="U29" s="6">
        <f t="shared" si="10"/>
        <v>0</v>
      </c>
      <c r="V29" s="55"/>
      <c r="W29" s="55"/>
      <c r="X29" s="55">
        <f t="shared" si="11"/>
        <v>0</v>
      </c>
      <c r="Y29" s="26">
        <f t="shared" si="7"/>
        <v>0</v>
      </c>
    </row>
    <row r="30" spans="1:25" x14ac:dyDescent="0.25">
      <c r="A30" s="77" t="s">
        <v>337</v>
      </c>
      <c r="B30" s="77"/>
      <c r="C30" s="77"/>
      <c r="D30" s="55"/>
      <c r="E30" s="55"/>
      <c r="F30" s="6">
        <f t="shared" si="4"/>
        <v>0</v>
      </c>
      <c r="G30" s="55"/>
      <c r="H30" s="55"/>
      <c r="I30" s="6">
        <f t="shared" si="5"/>
        <v>0</v>
      </c>
      <c r="J30" s="55"/>
      <c r="K30" s="55"/>
      <c r="L30" s="6">
        <f t="shared" si="6"/>
        <v>0</v>
      </c>
      <c r="M30" s="55"/>
      <c r="N30" s="55"/>
      <c r="O30" s="6">
        <f t="shared" si="8"/>
        <v>0</v>
      </c>
      <c r="P30" s="55"/>
      <c r="Q30" s="55"/>
      <c r="R30" s="6">
        <f t="shared" si="9"/>
        <v>0</v>
      </c>
      <c r="S30" s="55"/>
      <c r="T30" s="55"/>
      <c r="U30" s="6">
        <f t="shared" si="10"/>
        <v>0</v>
      </c>
      <c r="V30" s="55"/>
      <c r="W30" s="55"/>
      <c r="X30" s="55">
        <f t="shared" si="11"/>
        <v>0</v>
      </c>
      <c r="Y30" s="26">
        <f t="shared" si="7"/>
        <v>0</v>
      </c>
    </row>
    <row r="31" spans="1:25" x14ac:dyDescent="0.25">
      <c r="A31" s="77" t="s">
        <v>362</v>
      </c>
      <c r="B31" s="77"/>
      <c r="C31" s="77"/>
      <c r="D31" s="55"/>
      <c r="E31" s="55"/>
      <c r="F31" s="6">
        <f t="shared" si="4"/>
        <v>0</v>
      </c>
      <c r="G31" s="55"/>
      <c r="H31" s="55"/>
      <c r="I31" s="6">
        <f t="shared" si="5"/>
        <v>0</v>
      </c>
      <c r="J31" s="55"/>
      <c r="K31" s="55"/>
      <c r="L31" s="6">
        <f t="shared" si="6"/>
        <v>0</v>
      </c>
      <c r="M31" s="55"/>
      <c r="N31" s="55"/>
      <c r="O31" s="6">
        <f t="shared" si="8"/>
        <v>0</v>
      </c>
      <c r="P31" s="55"/>
      <c r="Q31" s="55"/>
      <c r="R31" s="6">
        <f t="shared" si="9"/>
        <v>0</v>
      </c>
      <c r="S31" s="55"/>
      <c r="T31" s="55"/>
      <c r="U31" s="6">
        <f t="shared" si="10"/>
        <v>0</v>
      </c>
      <c r="V31" s="55"/>
      <c r="W31" s="55"/>
      <c r="X31" s="55">
        <f t="shared" si="11"/>
        <v>0</v>
      </c>
      <c r="Y31" s="26">
        <f t="shared" si="7"/>
        <v>0</v>
      </c>
    </row>
    <row r="32" spans="1:25" x14ac:dyDescent="0.25">
      <c r="A32" s="77" t="s">
        <v>339</v>
      </c>
      <c r="B32" s="77"/>
      <c r="C32" s="77"/>
      <c r="D32" s="55"/>
      <c r="E32" s="55"/>
      <c r="F32" s="6">
        <f t="shared" si="4"/>
        <v>0</v>
      </c>
      <c r="G32" s="55"/>
      <c r="H32" s="55"/>
      <c r="I32" s="6">
        <f t="shared" si="5"/>
        <v>0</v>
      </c>
      <c r="J32" s="55"/>
      <c r="K32" s="55"/>
      <c r="L32" s="6">
        <f t="shared" si="6"/>
        <v>0</v>
      </c>
      <c r="M32" s="55"/>
      <c r="N32" s="55"/>
      <c r="O32" s="6">
        <f t="shared" si="8"/>
        <v>0</v>
      </c>
      <c r="P32" s="55"/>
      <c r="Q32" s="55"/>
      <c r="R32" s="6">
        <f t="shared" si="9"/>
        <v>0</v>
      </c>
      <c r="S32" s="55"/>
      <c r="T32" s="55"/>
      <c r="U32" s="6">
        <f t="shared" si="10"/>
        <v>0</v>
      </c>
      <c r="V32" s="55"/>
      <c r="W32" s="55"/>
      <c r="X32" s="55">
        <f t="shared" si="11"/>
        <v>0</v>
      </c>
      <c r="Y32" s="26">
        <f t="shared" si="7"/>
        <v>0</v>
      </c>
    </row>
    <row r="33" spans="1:27" x14ac:dyDescent="0.25">
      <c r="A33" s="77" t="s">
        <v>363</v>
      </c>
      <c r="B33" s="77"/>
      <c r="C33" s="77"/>
      <c r="D33" s="55"/>
      <c r="E33" s="55"/>
      <c r="F33" s="6">
        <f t="shared" si="4"/>
        <v>0</v>
      </c>
      <c r="G33" s="55"/>
      <c r="H33" s="55"/>
      <c r="I33" s="6">
        <f t="shared" si="5"/>
        <v>0</v>
      </c>
      <c r="J33" s="55"/>
      <c r="K33" s="55"/>
      <c r="L33" s="6">
        <f t="shared" si="6"/>
        <v>0</v>
      </c>
      <c r="M33" s="55"/>
      <c r="N33" s="55"/>
      <c r="O33" s="6">
        <f t="shared" si="8"/>
        <v>0</v>
      </c>
      <c r="P33" s="55"/>
      <c r="Q33" s="55"/>
      <c r="R33" s="6">
        <f t="shared" si="9"/>
        <v>0</v>
      </c>
      <c r="S33" s="55"/>
      <c r="T33" s="55"/>
      <c r="U33" s="6">
        <f t="shared" si="10"/>
        <v>0</v>
      </c>
      <c r="V33" s="55"/>
      <c r="W33" s="55"/>
      <c r="X33" s="55">
        <f t="shared" si="11"/>
        <v>0</v>
      </c>
      <c r="Y33" s="26">
        <f t="shared" si="7"/>
        <v>0</v>
      </c>
    </row>
    <row r="34" spans="1:27" x14ac:dyDescent="0.25">
      <c r="A34" s="77" t="s">
        <v>364</v>
      </c>
      <c r="B34" s="77"/>
      <c r="C34" s="77"/>
      <c r="D34" s="55"/>
      <c r="E34" s="55"/>
      <c r="F34" s="6">
        <f t="shared" si="4"/>
        <v>0</v>
      </c>
      <c r="G34" s="55"/>
      <c r="H34" s="55"/>
      <c r="I34" s="6">
        <f t="shared" si="5"/>
        <v>0</v>
      </c>
      <c r="J34" s="55"/>
      <c r="K34" s="55"/>
      <c r="L34" s="6">
        <f t="shared" si="6"/>
        <v>0</v>
      </c>
      <c r="M34" s="55"/>
      <c r="N34" s="55"/>
      <c r="O34" s="6">
        <f t="shared" si="8"/>
        <v>0</v>
      </c>
      <c r="P34" s="55"/>
      <c r="Q34" s="55"/>
      <c r="R34" s="6">
        <f t="shared" si="9"/>
        <v>0</v>
      </c>
      <c r="S34" s="55"/>
      <c r="T34" s="55"/>
      <c r="U34" s="6">
        <f t="shared" si="10"/>
        <v>0</v>
      </c>
      <c r="V34" s="55"/>
      <c r="W34" s="55"/>
      <c r="X34" s="55">
        <f t="shared" si="11"/>
        <v>0</v>
      </c>
      <c r="Y34" s="26">
        <f t="shared" si="7"/>
        <v>0</v>
      </c>
      <c r="AA34" s="6"/>
    </row>
    <row r="35" spans="1:27" x14ac:dyDescent="0.25">
      <c r="A35" s="78" t="s">
        <v>365</v>
      </c>
      <c r="B35" s="78"/>
      <c r="C35" s="78"/>
      <c r="D35" s="55"/>
      <c r="E35" s="55"/>
      <c r="F35" s="6">
        <f t="shared" si="4"/>
        <v>0</v>
      </c>
      <c r="G35" s="55"/>
      <c r="H35" s="55"/>
      <c r="I35" s="6">
        <f t="shared" si="5"/>
        <v>0</v>
      </c>
      <c r="J35" s="55"/>
      <c r="K35" s="55"/>
      <c r="L35" s="6">
        <f t="shared" si="6"/>
        <v>0</v>
      </c>
      <c r="M35" s="55"/>
      <c r="N35" s="55"/>
      <c r="O35" s="6">
        <f t="shared" si="8"/>
        <v>0</v>
      </c>
      <c r="P35" s="55"/>
      <c r="Q35" s="55"/>
      <c r="R35" s="6">
        <f t="shared" si="9"/>
        <v>0</v>
      </c>
      <c r="S35" s="55"/>
      <c r="T35" s="55"/>
      <c r="U35" s="6">
        <f t="shared" si="10"/>
        <v>0</v>
      </c>
      <c r="V35" s="55"/>
      <c r="W35" s="55"/>
      <c r="X35" s="55">
        <f t="shared" si="11"/>
        <v>0</v>
      </c>
      <c r="Y35" s="26">
        <f t="shared" si="7"/>
        <v>0</v>
      </c>
      <c r="AA35" s="6"/>
    </row>
    <row r="36" spans="1:27" x14ac:dyDescent="0.25">
      <c r="A36" s="77" t="s">
        <v>371</v>
      </c>
      <c r="B36" s="77"/>
      <c r="C36" s="77"/>
      <c r="D36" s="55"/>
      <c r="E36" s="55"/>
      <c r="F36" s="6">
        <f t="shared" si="4"/>
        <v>0</v>
      </c>
      <c r="G36" s="55"/>
      <c r="H36" s="55"/>
      <c r="I36" s="6">
        <f t="shared" si="5"/>
        <v>0</v>
      </c>
      <c r="J36" s="55"/>
      <c r="K36" s="55"/>
      <c r="L36" s="6">
        <f t="shared" si="6"/>
        <v>0</v>
      </c>
      <c r="M36" s="55"/>
      <c r="N36" s="55"/>
      <c r="O36" s="6">
        <f t="shared" si="8"/>
        <v>0</v>
      </c>
      <c r="P36" s="55"/>
      <c r="Q36" s="55"/>
      <c r="R36" s="6">
        <f t="shared" si="9"/>
        <v>0</v>
      </c>
      <c r="S36" s="55"/>
      <c r="T36" s="55"/>
      <c r="U36" s="6">
        <f t="shared" si="10"/>
        <v>0</v>
      </c>
      <c r="V36" s="55"/>
      <c r="W36" s="55"/>
      <c r="X36" s="55">
        <f t="shared" si="11"/>
        <v>0</v>
      </c>
      <c r="Y36" s="26">
        <f t="shared" si="7"/>
        <v>0</v>
      </c>
      <c r="AA36" s="6"/>
    </row>
    <row r="37" spans="1:27" x14ac:dyDescent="0.25">
      <c r="A37" s="77" t="s">
        <v>366</v>
      </c>
      <c r="B37" s="77"/>
      <c r="C37" s="77"/>
      <c r="D37" s="55"/>
      <c r="E37" s="55"/>
      <c r="F37" s="6">
        <f t="shared" si="4"/>
        <v>0</v>
      </c>
      <c r="G37" s="55"/>
      <c r="H37" s="55"/>
      <c r="I37" s="6">
        <f t="shared" si="5"/>
        <v>0</v>
      </c>
      <c r="J37" s="55"/>
      <c r="K37" s="55"/>
      <c r="L37" s="6">
        <f t="shared" si="6"/>
        <v>0</v>
      </c>
      <c r="M37" s="55"/>
      <c r="N37" s="55"/>
      <c r="O37" s="6">
        <f t="shared" si="8"/>
        <v>0</v>
      </c>
      <c r="P37" s="55"/>
      <c r="Q37" s="55"/>
      <c r="R37" s="6">
        <f t="shared" si="9"/>
        <v>0</v>
      </c>
      <c r="S37" s="55"/>
      <c r="T37" s="55"/>
      <c r="U37" s="6">
        <f t="shared" si="10"/>
        <v>0</v>
      </c>
      <c r="V37" s="55"/>
      <c r="W37" s="55"/>
      <c r="X37" s="55">
        <f t="shared" si="11"/>
        <v>0</v>
      </c>
      <c r="Y37" s="26">
        <f t="shared" si="7"/>
        <v>0</v>
      </c>
      <c r="AA37" s="6"/>
    </row>
    <row r="38" spans="1:27" x14ac:dyDescent="0.25">
      <c r="A38" s="77" t="s">
        <v>367</v>
      </c>
      <c r="B38" s="77"/>
      <c r="C38" s="77"/>
      <c r="D38" s="55"/>
      <c r="E38" s="55"/>
      <c r="F38" s="6">
        <f t="shared" si="4"/>
        <v>0</v>
      </c>
      <c r="G38" s="55"/>
      <c r="H38" s="55"/>
      <c r="I38" s="6">
        <f t="shared" si="5"/>
        <v>0</v>
      </c>
      <c r="J38" s="55"/>
      <c r="K38" s="55"/>
      <c r="L38" s="6">
        <f t="shared" si="6"/>
        <v>0</v>
      </c>
      <c r="M38" s="55"/>
      <c r="N38" s="55"/>
      <c r="O38" s="6">
        <f t="shared" si="8"/>
        <v>0</v>
      </c>
      <c r="P38" s="55"/>
      <c r="Q38" s="55"/>
      <c r="R38" s="6">
        <f t="shared" si="9"/>
        <v>0</v>
      </c>
      <c r="S38" s="55"/>
      <c r="T38" s="55"/>
      <c r="U38" s="6">
        <f t="shared" si="10"/>
        <v>0</v>
      </c>
      <c r="V38" s="55"/>
      <c r="W38" s="55"/>
      <c r="X38" s="55">
        <f t="shared" si="11"/>
        <v>0</v>
      </c>
      <c r="Y38" s="26">
        <f t="shared" si="7"/>
        <v>0</v>
      </c>
      <c r="AA38" s="6"/>
    </row>
    <row r="39" spans="1:27" x14ac:dyDescent="0.25">
      <c r="A39" s="77" t="s">
        <v>368</v>
      </c>
      <c r="B39" s="77"/>
      <c r="C39" s="77"/>
      <c r="D39" s="20">
        <v>1.84</v>
      </c>
      <c r="E39" s="20"/>
      <c r="F39" s="6">
        <f t="shared" si="4"/>
        <v>1.84</v>
      </c>
      <c r="G39" s="46">
        <v>-2.14</v>
      </c>
      <c r="H39" s="20"/>
      <c r="I39" s="6">
        <f t="shared" si="5"/>
        <v>-2.14</v>
      </c>
      <c r="J39" s="20"/>
      <c r="K39" s="20"/>
      <c r="L39" s="6">
        <f t="shared" si="6"/>
        <v>0</v>
      </c>
      <c r="M39" s="20">
        <v>1.1499999999999999</v>
      </c>
      <c r="N39" s="20"/>
      <c r="O39" s="6">
        <f t="shared" si="8"/>
        <v>1.1499999999999999</v>
      </c>
      <c r="P39" s="20">
        <v>-1.21</v>
      </c>
      <c r="Q39" s="20"/>
      <c r="R39" s="6">
        <f t="shared" si="9"/>
        <v>-1.21</v>
      </c>
      <c r="S39" s="20"/>
      <c r="T39" s="20"/>
      <c r="U39" s="6">
        <f t="shared" si="10"/>
        <v>0</v>
      </c>
      <c r="V39" s="20">
        <v>13187.62</v>
      </c>
      <c r="W39" s="20"/>
      <c r="X39" s="55">
        <f t="shared" si="11"/>
        <v>13187.62</v>
      </c>
      <c r="Y39" s="26">
        <f t="shared" si="7"/>
        <v>13187.26</v>
      </c>
      <c r="AA39" s="6"/>
    </row>
    <row r="40" spans="1:27" x14ac:dyDescent="0.25">
      <c r="A40" s="78" t="s">
        <v>17</v>
      </c>
      <c r="B40" s="78"/>
      <c r="C40" s="78"/>
      <c r="D40" s="55"/>
      <c r="E40" s="55"/>
      <c r="F40" s="6">
        <f t="shared" si="4"/>
        <v>0</v>
      </c>
      <c r="G40" s="55"/>
      <c r="H40" s="55"/>
      <c r="I40" s="6">
        <f t="shared" si="5"/>
        <v>0</v>
      </c>
      <c r="J40" s="55"/>
      <c r="K40" s="55"/>
      <c r="L40" s="6">
        <f t="shared" si="6"/>
        <v>0</v>
      </c>
      <c r="M40" s="55"/>
      <c r="N40" s="55"/>
      <c r="O40" s="6">
        <f t="shared" si="8"/>
        <v>0</v>
      </c>
      <c r="P40" s="55"/>
      <c r="Q40" s="55"/>
      <c r="R40" s="6">
        <f t="shared" si="9"/>
        <v>0</v>
      </c>
      <c r="S40" s="55"/>
      <c r="T40" s="55"/>
      <c r="U40" s="6">
        <f>S40+T40</f>
        <v>0</v>
      </c>
      <c r="V40" s="55"/>
      <c r="W40" s="55"/>
      <c r="X40" s="55">
        <f>V40+W40</f>
        <v>0</v>
      </c>
      <c r="Y40" s="26">
        <f t="shared" si="7"/>
        <v>0</v>
      </c>
      <c r="AA40" s="6"/>
    </row>
    <row r="41" spans="1:27" x14ac:dyDescent="0.25">
      <c r="A41" s="2" t="s">
        <v>18</v>
      </c>
      <c r="B41" s="2"/>
      <c r="C41" s="2"/>
      <c r="D41" s="6">
        <f>SUM(D23:D40)</f>
        <v>1.84</v>
      </c>
      <c r="E41" s="6">
        <f>SUM(E23:E40)</f>
        <v>0</v>
      </c>
      <c r="F41" s="6">
        <f t="shared" si="4"/>
        <v>1.84</v>
      </c>
      <c r="G41" s="43">
        <f>SUM(G23:G40)</f>
        <v>-2.14</v>
      </c>
      <c r="H41" s="6">
        <f>SUM(H23:H40)</f>
        <v>0</v>
      </c>
      <c r="I41" s="6">
        <f t="shared" si="5"/>
        <v>-2.14</v>
      </c>
      <c r="J41" s="6">
        <f>SUM(J23:J40)</f>
        <v>0</v>
      </c>
      <c r="K41" s="6">
        <f>SUM(K23:K40)</f>
        <v>0</v>
      </c>
      <c r="L41" s="6">
        <f t="shared" si="6"/>
        <v>0</v>
      </c>
      <c r="M41" s="6">
        <f>SUM(M23:M40)</f>
        <v>1.1499999999999999</v>
      </c>
      <c r="N41" s="6">
        <f>SUM(N23:N40)</f>
        <v>0</v>
      </c>
      <c r="O41" s="6">
        <f>M41+N41</f>
        <v>1.1499999999999999</v>
      </c>
      <c r="P41" s="6">
        <f>SUM(P23:P40)</f>
        <v>-1.21</v>
      </c>
      <c r="Q41" s="6">
        <f>SUM(Q23:Q40)</f>
        <v>0</v>
      </c>
      <c r="R41" s="6">
        <f>P41+Q41</f>
        <v>-1.21</v>
      </c>
      <c r="S41" s="6">
        <f>SUM(S23:S40)</f>
        <v>0</v>
      </c>
      <c r="T41" s="17">
        <f>SUM(T23:T40)</f>
        <v>0</v>
      </c>
      <c r="U41" s="6">
        <f>S41+T41</f>
        <v>0</v>
      </c>
      <c r="V41" s="6">
        <f>SUM(V23:V40)</f>
        <v>13187.62</v>
      </c>
      <c r="W41" s="6">
        <f>SUM(W23:W40)</f>
        <v>0</v>
      </c>
      <c r="X41" s="6">
        <f>V41+W41</f>
        <v>13187.62</v>
      </c>
      <c r="Y41" s="26">
        <f t="shared" si="7"/>
        <v>13187.26</v>
      </c>
      <c r="AA41" s="6"/>
    </row>
    <row r="42" spans="1:27" x14ac:dyDescent="0.25">
      <c r="Y42" s="26"/>
      <c r="AA42" s="6"/>
    </row>
    <row r="43" spans="1:27" x14ac:dyDescent="0.25">
      <c r="A43" s="2" t="s">
        <v>19</v>
      </c>
      <c r="B43" s="2"/>
      <c r="C43" s="2"/>
      <c r="D43" s="6">
        <f>D20+D41</f>
        <v>658686.52</v>
      </c>
      <c r="E43" s="6">
        <f>E20+E41</f>
        <v>0</v>
      </c>
      <c r="F43" s="6">
        <f t="shared" si="4"/>
        <v>658686.52</v>
      </c>
      <c r="G43" s="43">
        <f>G20+G41</f>
        <v>16021.82</v>
      </c>
      <c r="H43" s="6">
        <f>H20+H41</f>
        <v>0</v>
      </c>
      <c r="I43" s="6">
        <f t="shared" si="5"/>
        <v>16021.82</v>
      </c>
      <c r="J43" s="6">
        <f>J20+J41</f>
        <v>0</v>
      </c>
      <c r="K43" s="6">
        <f>K20+K41</f>
        <v>0</v>
      </c>
      <c r="L43" s="6">
        <f t="shared" si="6"/>
        <v>0</v>
      </c>
      <c r="M43" s="6">
        <f>M20+M41</f>
        <v>49186.74</v>
      </c>
      <c r="N43" s="6">
        <f>N20+N41</f>
        <v>0</v>
      </c>
      <c r="O43" s="6">
        <f>M43+N43</f>
        <v>49186.74</v>
      </c>
      <c r="P43" s="6">
        <f>P20+P41</f>
        <v>1519.1399999999999</v>
      </c>
      <c r="Q43" s="6">
        <f>Q20+Q41</f>
        <v>0</v>
      </c>
      <c r="R43" s="6">
        <f>P43+Q43</f>
        <v>1519.1399999999999</v>
      </c>
      <c r="S43" s="6">
        <f>S20+S41</f>
        <v>0</v>
      </c>
      <c r="T43" s="6">
        <f>T20+T41</f>
        <v>0</v>
      </c>
      <c r="U43" s="6">
        <f>S43+T43</f>
        <v>0</v>
      </c>
      <c r="V43" s="6">
        <f>V20+V41</f>
        <v>30702.79</v>
      </c>
      <c r="W43" s="6">
        <f>W20+W41</f>
        <v>0</v>
      </c>
      <c r="X43" s="6">
        <f>V43+W43</f>
        <v>30702.79</v>
      </c>
      <c r="Y43" s="6">
        <f>Y20+Y41</f>
        <v>756117.01</v>
      </c>
      <c r="AA43" s="6"/>
    </row>
    <row r="44" spans="1:27" x14ac:dyDescent="0.25">
      <c r="D44" s="49" t="str">
        <f>IF(D13=D43,"YES","NO")</f>
        <v>YES</v>
      </c>
      <c r="E44" s="49" t="str">
        <f>IF(E13=E43,"YES","NO")</f>
        <v>YES</v>
      </c>
      <c r="F44" s="49" t="str">
        <f>IF(F13=F43,"YES","NO")</f>
        <v>YES</v>
      </c>
      <c r="G44" s="49" t="str">
        <f>IF(G13=G43,"YES","NO")</f>
        <v>YES</v>
      </c>
      <c r="H44" s="49" t="str">
        <f>IF(H13=H43,"YES","NO")</f>
        <v>YES</v>
      </c>
      <c r="I44" s="49" t="str">
        <f t="shared" ref="I44:X44" si="12">IF(I13=I43,"YES","NO")</f>
        <v>YES</v>
      </c>
      <c r="J44" s="49" t="str">
        <f t="shared" si="12"/>
        <v>YES</v>
      </c>
      <c r="K44" s="49" t="str">
        <f t="shared" si="12"/>
        <v>YES</v>
      </c>
      <c r="L44" s="49" t="str">
        <f t="shared" si="12"/>
        <v>YES</v>
      </c>
      <c r="M44" s="49" t="str">
        <f t="shared" si="12"/>
        <v>YES</v>
      </c>
      <c r="N44" s="49" t="str">
        <f t="shared" si="12"/>
        <v>YES</v>
      </c>
      <c r="O44" s="49" t="str">
        <f t="shared" si="12"/>
        <v>YES</v>
      </c>
      <c r="P44" s="49" t="str">
        <f t="shared" si="12"/>
        <v>YES</v>
      </c>
      <c r="Q44" s="49" t="str">
        <f t="shared" si="12"/>
        <v>YES</v>
      </c>
      <c r="R44" s="49" t="str">
        <f t="shared" si="12"/>
        <v>YES</v>
      </c>
      <c r="S44" s="49" t="str">
        <f t="shared" si="12"/>
        <v>YES</v>
      </c>
      <c r="T44" s="6" t="str">
        <f t="shared" si="12"/>
        <v>YES</v>
      </c>
      <c r="U44" s="6" t="str">
        <f t="shared" si="12"/>
        <v>YES</v>
      </c>
      <c r="V44" s="6" t="str">
        <f t="shared" si="12"/>
        <v>YES</v>
      </c>
      <c r="W44" s="6" t="str">
        <f t="shared" si="12"/>
        <v>YES</v>
      </c>
      <c r="X44" s="6" t="str">
        <f t="shared" si="12"/>
        <v>YES</v>
      </c>
      <c r="Y44" s="26"/>
      <c r="AA44" s="6"/>
    </row>
    <row r="45" spans="1:27" x14ac:dyDescent="0.25">
      <c r="A45" s="3" t="s">
        <v>20</v>
      </c>
      <c r="B45" s="3"/>
      <c r="C45" s="3"/>
      <c r="Y45" s="26"/>
      <c r="AA45" s="6"/>
    </row>
    <row r="46" spans="1:27" x14ac:dyDescent="0.25">
      <c r="A46" s="4" t="s">
        <v>21</v>
      </c>
      <c r="B46" s="4"/>
      <c r="C46" s="4"/>
      <c r="D46" s="20">
        <v>527437.38</v>
      </c>
      <c r="E46" s="20"/>
      <c r="F46" s="6">
        <f t="shared" si="4"/>
        <v>527437.38</v>
      </c>
      <c r="G46" s="46">
        <v>209731.77</v>
      </c>
      <c r="H46" s="20"/>
      <c r="I46" s="6">
        <f t="shared" si="5"/>
        <v>209731.77</v>
      </c>
      <c r="J46" s="20"/>
      <c r="K46" s="20"/>
      <c r="L46" s="6">
        <f t="shared" si="6"/>
        <v>0</v>
      </c>
      <c r="M46" s="20">
        <v>43617.4</v>
      </c>
      <c r="N46" s="20"/>
      <c r="O46" s="6">
        <f t="shared" ref="O46:O51" si="13">M46+N46</f>
        <v>43617.4</v>
      </c>
      <c r="P46" s="20">
        <v>33814.21</v>
      </c>
      <c r="Q46" s="20"/>
      <c r="R46" s="6">
        <f t="shared" ref="R46:R51" si="14">P46+Q46</f>
        <v>33814.21</v>
      </c>
      <c r="S46" s="20"/>
      <c r="T46" s="20"/>
      <c r="U46" s="6">
        <f t="shared" ref="U46:U51" si="15">S46+T46</f>
        <v>0</v>
      </c>
      <c r="V46" s="20"/>
      <c r="W46" s="20"/>
      <c r="X46" s="55">
        <f t="shared" ref="X46:X51" si="16">V46+W46</f>
        <v>0</v>
      </c>
      <c r="Y46" s="26">
        <f t="shared" si="7"/>
        <v>814600.76</v>
      </c>
      <c r="AA46" s="6"/>
    </row>
    <row r="47" spans="1:27" x14ac:dyDescent="0.25">
      <c r="A47" s="4" t="s">
        <v>22</v>
      </c>
      <c r="B47" s="4"/>
      <c r="C47" s="4"/>
      <c r="D47" s="20"/>
      <c r="E47" s="20"/>
      <c r="F47" s="6">
        <f t="shared" si="4"/>
        <v>0</v>
      </c>
      <c r="G47" s="46"/>
      <c r="H47" s="20"/>
      <c r="I47" s="6">
        <f t="shared" si="5"/>
        <v>0</v>
      </c>
      <c r="J47" s="20"/>
      <c r="K47" s="20"/>
      <c r="L47" s="6">
        <f t="shared" si="6"/>
        <v>0</v>
      </c>
      <c r="M47" s="20"/>
      <c r="N47" s="20"/>
      <c r="O47" s="6">
        <f t="shared" si="13"/>
        <v>0</v>
      </c>
      <c r="P47" s="20"/>
      <c r="Q47" s="20"/>
      <c r="R47" s="6">
        <f t="shared" si="14"/>
        <v>0</v>
      </c>
      <c r="S47" s="20"/>
      <c r="T47" s="20"/>
      <c r="U47" s="6">
        <f t="shared" si="15"/>
        <v>0</v>
      </c>
      <c r="V47" s="20">
        <v>20</v>
      </c>
      <c r="W47" s="20"/>
      <c r="X47" s="55">
        <f t="shared" si="16"/>
        <v>20</v>
      </c>
      <c r="Y47" s="26">
        <f t="shared" si="7"/>
        <v>20</v>
      </c>
      <c r="AA47" s="6"/>
    </row>
    <row r="48" spans="1:27" x14ac:dyDescent="0.25">
      <c r="A48" s="4" t="s">
        <v>201</v>
      </c>
      <c r="B48" s="4"/>
      <c r="C48" s="4"/>
      <c r="D48" s="20"/>
      <c r="E48" s="20"/>
      <c r="F48" s="6">
        <f t="shared" si="4"/>
        <v>0</v>
      </c>
      <c r="G48" s="46"/>
      <c r="H48" s="20"/>
      <c r="I48" s="6">
        <f t="shared" si="5"/>
        <v>0</v>
      </c>
      <c r="J48" s="20"/>
      <c r="K48" s="20"/>
      <c r="L48" s="6">
        <f t="shared" si="6"/>
        <v>0</v>
      </c>
      <c r="M48" s="20"/>
      <c r="N48" s="20"/>
      <c r="O48" s="6">
        <f t="shared" si="13"/>
        <v>0</v>
      </c>
      <c r="P48" s="20"/>
      <c r="Q48" s="20"/>
      <c r="R48" s="6">
        <f t="shared" si="14"/>
        <v>0</v>
      </c>
      <c r="S48" s="20"/>
      <c r="T48" s="20"/>
      <c r="U48" s="6">
        <f t="shared" si="15"/>
        <v>0</v>
      </c>
      <c r="V48" s="20"/>
      <c r="W48" s="20"/>
      <c r="X48" s="55">
        <f t="shared" si="16"/>
        <v>0</v>
      </c>
      <c r="Y48" s="26">
        <f t="shared" si="7"/>
        <v>0</v>
      </c>
      <c r="AA48" s="6"/>
    </row>
    <row r="49" spans="1:27" x14ac:dyDescent="0.25">
      <c r="A49" s="4" t="s">
        <v>23</v>
      </c>
      <c r="B49" s="4"/>
      <c r="C49" s="4"/>
      <c r="D49" s="20">
        <v>1345</v>
      </c>
      <c r="E49" s="20"/>
      <c r="F49" s="6">
        <f t="shared" si="4"/>
        <v>1345</v>
      </c>
      <c r="G49" s="46">
        <v>120.52</v>
      </c>
      <c r="H49" s="20"/>
      <c r="I49" s="6">
        <f t="shared" si="5"/>
        <v>120.52</v>
      </c>
      <c r="J49" s="20"/>
      <c r="K49" s="20"/>
      <c r="L49" s="6">
        <f t="shared" si="6"/>
        <v>0</v>
      </c>
      <c r="M49" s="20">
        <v>91.87</v>
      </c>
      <c r="N49" s="20"/>
      <c r="O49" s="6">
        <f t="shared" si="13"/>
        <v>91.87</v>
      </c>
      <c r="P49" s="20">
        <v>13.86</v>
      </c>
      <c r="Q49" s="20"/>
      <c r="R49" s="6">
        <f t="shared" si="14"/>
        <v>13.86</v>
      </c>
      <c r="S49" s="20"/>
      <c r="T49" s="20"/>
      <c r="U49" s="6">
        <f t="shared" si="15"/>
        <v>0</v>
      </c>
      <c r="V49" s="20">
        <v>75.23</v>
      </c>
      <c r="W49" s="20"/>
      <c r="X49" s="55">
        <f t="shared" si="16"/>
        <v>75.23</v>
      </c>
      <c r="Y49" s="26">
        <f t="shared" si="7"/>
        <v>1646.4799999999998</v>
      </c>
      <c r="AA49" s="6"/>
    </row>
    <row r="50" spans="1:27" x14ac:dyDescent="0.25">
      <c r="A50" s="4" t="s">
        <v>24</v>
      </c>
      <c r="B50" s="4"/>
      <c r="C50" s="4"/>
      <c r="D50" s="20">
        <v>5804</v>
      </c>
      <c r="E50" s="20"/>
      <c r="F50" s="6">
        <f t="shared" si="4"/>
        <v>5804</v>
      </c>
      <c r="G50" s="46">
        <v>2520.5700000000002</v>
      </c>
      <c r="H50" s="20"/>
      <c r="I50" s="6">
        <f t="shared" si="5"/>
        <v>2520.5700000000002</v>
      </c>
      <c r="J50" s="20"/>
      <c r="K50" s="20"/>
      <c r="L50" s="6">
        <f t="shared" si="6"/>
        <v>0</v>
      </c>
      <c r="M50" s="20"/>
      <c r="N50" s="20"/>
      <c r="O50" s="6">
        <f t="shared" si="13"/>
        <v>0</v>
      </c>
      <c r="P50" s="20"/>
      <c r="Q50" s="20"/>
      <c r="R50" s="6">
        <f t="shared" si="14"/>
        <v>0</v>
      </c>
      <c r="S50" s="20"/>
      <c r="T50" s="20"/>
      <c r="U50" s="6">
        <f t="shared" si="15"/>
        <v>0</v>
      </c>
      <c r="V50" s="20"/>
      <c r="W50" s="20"/>
      <c r="X50" s="55">
        <f t="shared" si="16"/>
        <v>0</v>
      </c>
      <c r="Y50" s="26">
        <f t="shared" si="7"/>
        <v>8324.57</v>
      </c>
      <c r="AA50" s="6"/>
    </row>
    <row r="51" spans="1:27" x14ac:dyDescent="0.25">
      <c r="A51" s="2" t="s">
        <v>25</v>
      </c>
      <c r="B51" s="2"/>
      <c r="C51" s="2"/>
      <c r="D51" s="6">
        <f>SUM(D46:D50)</f>
        <v>534586.38</v>
      </c>
      <c r="E51" s="6">
        <f>SUM(E46:E50)</f>
        <v>0</v>
      </c>
      <c r="F51" s="6">
        <f t="shared" si="4"/>
        <v>534586.38</v>
      </c>
      <c r="G51" s="43">
        <f>SUM(G46:G50)</f>
        <v>212372.86</v>
      </c>
      <c r="H51" s="6">
        <f>SUM(H46:H50)</f>
        <v>0</v>
      </c>
      <c r="I51" s="6">
        <f t="shared" si="5"/>
        <v>212372.86</v>
      </c>
      <c r="J51" s="6">
        <f>SUM(J46:J50)</f>
        <v>0</v>
      </c>
      <c r="K51" s="6">
        <f>SUM(K46:K50)</f>
        <v>0</v>
      </c>
      <c r="L51" s="6">
        <f t="shared" si="6"/>
        <v>0</v>
      </c>
      <c r="M51" s="6">
        <f>SUM(M46:M50)</f>
        <v>43709.270000000004</v>
      </c>
      <c r="N51" s="6">
        <f>SUM(N46:N50)</f>
        <v>0</v>
      </c>
      <c r="O51" s="6">
        <f t="shared" si="13"/>
        <v>43709.270000000004</v>
      </c>
      <c r="P51" s="6">
        <f>SUM(P46:P50)</f>
        <v>33828.07</v>
      </c>
      <c r="Q51" s="6">
        <f>SUM(Q46:Q50)</f>
        <v>0</v>
      </c>
      <c r="R51" s="6">
        <f t="shared" si="14"/>
        <v>33828.07</v>
      </c>
      <c r="S51" s="6">
        <f>SUM(S46:S50)</f>
        <v>0</v>
      </c>
      <c r="T51" s="6">
        <f>SUM(T46:T50)</f>
        <v>0</v>
      </c>
      <c r="U51" s="6">
        <f t="shared" si="15"/>
        <v>0</v>
      </c>
      <c r="V51" s="6">
        <f>SUM(V46:V50)</f>
        <v>95.23</v>
      </c>
      <c r="W51" s="6">
        <f>SUM(W46:W50)</f>
        <v>0</v>
      </c>
      <c r="X51" s="6">
        <f t="shared" si="16"/>
        <v>95.23</v>
      </c>
      <c r="Y51" s="26">
        <f t="shared" si="7"/>
        <v>824591.80999999994</v>
      </c>
      <c r="AA51" s="6"/>
    </row>
    <row r="52" spans="1:27" x14ac:dyDescent="0.25">
      <c r="Y52" s="26"/>
      <c r="AA52" s="6"/>
    </row>
    <row r="53" spans="1:27" x14ac:dyDescent="0.25">
      <c r="A53" s="3" t="s">
        <v>26</v>
      </c>
      <c r="B53" s="3"/>
      <c r="C53" s="3"/>
      <c r="Y53" s="26"/>
      <c r="AA53" s="6"/>
    </row>
    <row r="54" spans="1:27" x14ac:dyDescent="0.25">
      <c r="A54" s="4" t="s">
        <v>27</v>
      </c>
      <c r="B54" s="4"/>
      <c r="C54" s="4"/>
      <c r="D54" s="55"/>
      <c r="E54" s="20"/>
      <c r="F54" s="6">
        <f t="shared" si="4"/>
        <v>0</v>
      </c>
      <c r="G54" s="55"/>
      <c r="H54" s="20"/>
      <c r="I54" s="6">
        <f t="shared" si="5"/>
        <v>0</v>
      </c>
      <c r="J54" s="55"/>
      <c r="K54" s="20"/>
      <c r="L54" s="6">
        <f t="shared" si="6"/>
        <v>0</v>
      </c>
      <c r="M54" s="55"/>
      <c r="N54" s="20"/>
      <c r="O54" s="6">
        <f t="shared" ref="O54:O60" si="17">M54+N54</f>
        <v>0</v>
      </c>
      <c r="P54" s="55"/>
      <c r="Q54" s="20"/>
      <c r="R54" s="6">
        <f t="shared" ref="R54:R60" si="18">P54+Q54</f>
        <v>0</v>
      </c>
      <c r="S54" s="55"/>
      <c r="T54" s="55"/>
      <c r="U54" s="6">
        <f t="shared" ref="U54:U60" si="19">S54+T54</f>
        <v>0</v>
      </c>
      <c r="V54" s="55"/>
      <c r="W54" s="55"/>
      <c r="X54" s="55">
        <f t="shared" ref="X54:X60" si="20">V54+W54</f>
        <v>0</v>
      </c>
      <c r="Y54" s="26">
        <f t="shared" si="7"/>
        <v>0</v>
      </c>
      <c r="AA54" s="6"/>
    </row>
    <row r="55" spans="1:27" x14ac:dyDescent="0.25">
      <c r="A55" s="4" t="s">
        <v>28</v>
      </c>
      <c r="B55" s="4"/>
      <c r="C55" s="4"/>
      <c r="D55" s="55"/>
      <c r="E55" s="20"/>
      <c r="F55" s="6">
        <f t="shared" si="4"/>
        <v>0</v>
      </c>
      <c r="G55" s="55"/>
      <c r="H55" s="20"/>
      <c r="I55" s="6">
        <f t="shared" si="5"/>
        <v>0</v>
      </c>
      <c r="J55" s="55"/>
      <c r="K55" s="20"/>
      <c r="L55" s="6">
        <f t="shared" si="6"/>
        <v>0</v>
      </c>
      <c r="M55" s="55"/>
      <c r="N55" s="20"/>
      <c r="O55" s="6">
        <f t="shared" si="17"/>
        <v>0</v>
      </c>
      <c r="P55" s="55"/>
      <c r="Q55" s="20"/>
      <c r="R55" s="6">
        <f t="shared" si="18"/>
        <v>0</v>
      </c>
      <c r="S55" s="55"/>
      <c r="T55" s="55"/>
      <c r="U55" s="6">
        <f t="shared" si="19"/>
        <v>0</v>
      </c>
      <c r="V55" s="55"/>
      <c r="W55" s="55"/>
      <c r="X55" s="55">
        <f t="shared" si="20"/>
        <v>0</v>
      </c>
      <c r="Y55" s="26">
        <f t="shared" si="7"/>
        <v>0</v>
      </c>
      <c r="AA55" s="6"/>
    </row>
    <row r="56" spans="1:27" x14ac:dyDescent="0.25">
      <c r="A56" s="4" t="s">
        <v>29</v>
      </c>
      <c r="B56" s="4"/>
      <c r="C56" s="4"/>
      <c r="D56" s="55"/>
      <c r="E56" s="20"/>
      <c r="F56" s="6">
        <f t="shared" si="4"/>
        <v>0</v>
      </c>
      <c r="G56" s="55"/>
      <c r="H56" s="20"/>
      <c r="I56" s="6">
        <f t="shared" si="5"/>
        <v>0</v>
      </c>
      <c r="J56" s="55"/>
      <c r="K56" s="20"/>
      <c r="L56" s="6">
        <f t="shared" si="6"/>
        <v>0</v>
      </c>
      <c r="M56" s="55"/>
      <c r="N56" s="20"/>
      <c r="O56" s="6">
        <f t="shared" si="17"/>
        <v>0</v>
      </c>
      <c r="P56" s="55"/>
      <c r="Q56" s="20"/>
      <c r="R56" s="6">
        <f t="shared" si="18"/>
        <v>0</v>
      </c>
      <c r="S56" s="55"/>
      <c r="T56" s="55"/>
      <c r="U56" s="6">
        <f t="shared" si="19"/>
        <v>0</v>
      </c>
      <c r="V56" s="55"/>
      <c r="W56" s="55"/>
      <c r="X56" s="55">
        <f t="shared" si="20"/>
        <v>0</v>
      </c>
      <c r="Y56" s="26">
        <f t="shared" si="7"/>
        <v>0</v>
      </c>
      <c r="AA56" s="6"/>
    </row>
    <row r="57" spans="1:27" x14ac:dyDescent="0.25">
      <c r="A57" s="4" t="s">
        <v>30</v>
      </c>
      <c r="B57" s="4"/>
      <c r="C57" s="4"/>
      <c r="D57" s="55"/>
      <c r="E57" s="20"/>
      <c r="F57" s="6">
        <f t="shared" si="4"/>
        <v>0</v>
      </c>
      <c r="G57" s="55"/>
      <c r="H57" s="20"/>
      <c r="I57" s="6">
        <f t="shared" si="5"/>
        <v>0</v>
      </c>
      <c r="J57" s="55"/>
      <c r="K57" s="20"/>
      <c r="L57" s="6">
        <f t="shared" si="6"/>
        <v>0</v>
      </c>
      <c r="M57" s="55"/>
      <c r="N57" s="20"/>
      <c r="O57" s="6">
        <f t="shared" si="17"/>
        <v>0</v>
      </c>
      <c r="P57" s="55"/>
      <c r="Q57" s="20"/>
      <c r="R57" s="6">
        <f t="shared" si="18"/>
        <v>0</v>
      </c>
      <c r="S57" s="55"/>
      <c r="T57" s="20"/>
      <c r="U57" s="6">
        <f t="shared" si="19"/>
        <v>0</v>
      </c>
      <c r="V57" s="55"/>
      <c r="W57" s="38"/>
      <c r="X57" s="81">
        <f t="shared" si="20"/>
        <v>0</v>
      </c>
      <c r="Y57" s="26">
        <f t="shared" si="7"/>
        <v>0</v>
      </c>
      <c r="AA57" s="6"/>
    </row>
    <row r="58" spans="1:27" x14ac:dyDescent="0.25">
      <c r="A58" s="4" t="s">
        <v>31</v>
      </c>
      <c r="B58" s="4"/>
      <c r="C58" s="4"/>
      <c r="D58" s="20">
        <v>727458.28</v>
      </c>
      <c r="E58" s="20"/>
      <c r="F58" s="6">
        <f t="shared" si="4"/>
        <v>727458.28</v>
      </c>
      <c r="G58" s="46">
        <v>210220.71</v>
      </c>
      <c r="H58" s="20"/>
      <c r="I58" s="6">
        <f t="shared" si="5"/>
        <v>210220.71</v>
      </c>
      <c r="J58" s="20">
        <v>-1</v>
      </c>
      <c r="K58" s="20"/>
      <c r="L58" s="6">
        <f t="shared" si="6"/>
        <v>-1</v>
      </c>
      <c r="M58" s="20">
        <v>43709.27</v>
      </c>
      <c r="N58" s="20"/>
      <c r="O58" s="6">
        <f t="shared" si="17"/>
        <v>43709.27</v>
      </c>
      <c r="P58" s="20">
        <v>33828.07</v>
      </c>
      <c r="Q58" s="20"/>
      <c r="R58" s="6">
        <f t="shared" si="18"/>
        <v>33828.07</v>
      </c>
      <c r="S58" s="20">
        <v>0</v>
      </c>
      <c r="T58" s="20"/>
      <c r="U58" s="6">
        <f t="shared" si="19"/>
        <v>0</v>
      </c>
      <c r="V58" s="20">
        <v>4274.83</v>
      </c>
      <c r="W58" s="38"/>
      <c r="X58" s="81">
        <f t="shared" si="20"/>
        <v>4274.83</v>
      </c>
      <c r="Y58" s="26">
        <f t="shared" si="7"/>
        <v>1019490.1599999999</v>
      </c>
    </row>
    <row r="59" spans="1:27" x14ac:dyDescent="0.25">
      <c r="A59" s="4" t="s">
        <v>62</v>
      </c>
      <c r="B59" s="4"/>
      <c r="C59" s="4"/>
      <c r="D59" s="55"/>
      <c r="E59" s="20"/>
      <c r="F59" s="6">
        <f t="shared" si="4"/>
        <v>0</v>
      </c>
      <c r="G59" s="55"/>
      <c r="H59" s="20"/>
      <c r="I59" s="6">
        <f t="shared" si="5"/>
        <v>0</v>
      </c>
      <c r="J59" s="55"/>
      <c r="K59" s="20"/>
      <c r="L59" s="6">
        <f t="shared" si="6"/>
        <v>0</v>
      </c>
      <c r="M59" s="55"/>
      <c r="N59" s="20"/>
      <c r="O59" s="6">
        <f t="shared" si="17"/>
        <v>0</v>
      </c>
      <c r="P59" s="55"/>
      <c r="Q59" s="20"/>
      <c r="R59" s="6">
        <f t="shared" si="18"/>
        <v>0</v>
      </c>
      <c r="S59" s="55"/>
      <c r="T59" s="20"/>
      <c r="U59" s="6">
        <f t="shared" si="19"/>
        <v>0</v>
      </c>
      <c r="V59" s="55"/>
      <c r="W59" s="38"/>
      <c r="X59" s="81">
        <f t="shared" si="20"/>
        <v>0</v>
      </c>
      <c r="Y59" s="26">
        <f t="shared" si="7"/>
        <v>0</v>
      </c>
    </row>
    <row r="60" spans="1:27" x14ac:dyDescent="0.25">
      <c r="A60" s="2" t="s">
        <v>32</v>
      </c>
      <c r="B60" s="2"/>
      <c r="C60" s="2"/>
      <c r="D60" s="55">
        <f>SUM(D54:D59)</f>
        <v>727458.28</v>
      </c>
      <c r="E60" s="6">
        <f>SUM(E54:E59)</f>
        <v>0</v>
      </c>
      <c r="F60" s="6">
        <f t="shared" si="4"/>
        <v>727458.28</v>
      </c>
      <c r="G60" s="55">
        <f>SUM(G54:G59)</f>
        <v>210220.71</v>
      </c>
      <c r="H60" s="6">
        <f>SUM(H54:H59)</f>
        <v>0</v>
      </c>
      <c r="I60" s="6">
        <f t="shared" si="5"/>
        <v>210220.71</v>
      </c>
      <c r="J60" s="55">
        <f>SUM(J54:J59)</f>
        <v>-1</v>
      </c>
      <c r="K60" s="6">
        <f>SUM(K54:K59)</f>
        <v>0</v>
      </c>
      <c r="L60" s="6">
        <f t="shared" si="6"/>
        <v>-1</v>
      </c>
      <c r="M60" s="55">
        <f>SUM(M54:M59)</f>
        <v>43709.27</v>
      </c>
      <c r="N60" s="6">
        <f>SUM(N54:N59)</f>
        <v>0</v>
      </c>
      <c r="O60" s="6">
        <f t="shared" si="17"/>
        <v>43709.27</v>
      </c>
      <c r="P60" s="6">
        <f>SUM(P54:P59)</f>
        <v>33828.07</v>
      </c>
      <c r="Q60" s="6">
        <f>SUM(Q54:Q59)</f>
        <v>0</v>
      </c>
      <c r="R60" s="6">
        <f t="shared" si="18"/>
        <v>33828.07</v>
      </c>
      <c r="S60" s="6">
        <f>SUM(S54:S59)</f>
        <v>0</v>
      </c>
      <c r="T60" s="6">
        <f>SUM(T54:T59)</f>
        <v>0</v>
      </c>
      <c r="U60" s="6">
        <f t="shared" si="19"/>
        <v>0</v>
      </c>
      <c r="V60" s="6">
        <f>SUM(V54:V59)</f>
        <v>4274.83</v>
      </c>
      <c r="W60" s="6">
        <f>SUM(W54:W59)</f>
        <v>0</v>
      </c>
      <c r="X60" s="6">
        <f t="shared" si="20"/>
        <v>4274.83</v>
      </c>
      <c r="Y60" s="26">
        <f t="shared" si="7"/>
        <v>1019490.1599999999</v>
      </c>
    </row>
    <row r="61" spans="1:27" x14ac:dyDescent="0.25">
      <c r="D61" s="55"/>
      <c r="G61" s="55"/>
      <c r="J61" s="55"/>
      <c r="M61" s="55"/>
      <c r="Y61" s="26"/>
    </row>
    <row r="62" spans="1:27" x14ac:dyDescent="0.25">
      <c r="A62" s="2" t="s">
        <v>33</v>
      </c>
      <c r="B62" s="2"/>
      <c r="C62" s="2"/>
      <c r="D62" s="55">
        <f>D51-D60</f>
        <v>-192871.90000000002</v>
      </c>
      <c r="E62" s="6">
        <f>E51-E60</f>
        <v>0</v>
      </c>
      <c r="F62" s="6">
        <f t="shared" si="4"/>
        <v>-192871.90000000002</v>
      </c>
      <c r="G62" s="55">
        <f>G51-G60</f>
        <v>2152.1499999999942</v>
      </c>
      <c r="H62" s="6">
        <f>H51-H60</f>
        <v>0</v>
      </c>
      <c r="I62" s="6">
        <f t="shared" si="5"/>
        <v>2152.1499999999942</v>
      </c>
      <c r="J62" s="55">
        <f>J51-J60</f>
        <v>1</v>
      </c>
      <c r="K62" s="6">
        <f>K51-K60</f>
        <v>0</v>
      </c>
      <c r="L62" s="6">
        <f t="shared" si="6"/>
        <v>1</v>
      </c>
      <c r="M62" s="55">
        <f>M51-M60</f>
        <v>0</v>
      </c>
      <c r="N62" s="6">
        <f>N51-N60</f>
        <v>0</v>
      </c>
      <c r="O62" s="6">
        <f>M62+N62</f>
        <v>0</v>
      </c>
      <c r="P62" s="6">
        <f>P51-P60</f>
        <v>0</v>
      </c>
      <c r="Q62" s="6">
        <f>Q51-Q60</f>
        <v>0</v>
      </c>
      <c r="R62" s="6">
        <f>P62+Q62</f>
        <v>0</v>
      </c>
      <c r="S62" s="6">
        <f>S51-S60</f>
        <v>0</v>
      </c>
      <c r="T62" s="6">
        <f>T51-T60</f>
        <v>0</v>
      </c>
      <c r="U62" s="6">
        <f>S62+T62</f>
        <v>0</v>
      </c>
      <c r="V62" s="6">
        <f>V51-V60</f>
        <v>-4179.6000000000004</v>
      </c>
      <c r="W62" s="6">
        <f>W51-W60</f>
        <v>0</v>
      </c>
      <c r="X62" s="6">
        <f>V62+W62</f>
        <v>-4179.6000000000004</v>
      </c>
      <c r="Y62" s="26">
        <f t="shared" si="7"/>
        <v>-194898.35000000003</v>
      </c>
    </row>
    <row r="63" spans="1:27" x14ac:dyDescent="0.25">
      <c r="A63" s="2"/>
      <c r="B63" s="2"/>
      <c r="C63" s="2"/>
      <c r="Y63" s="26"/>
    </row>
    <row r="64" spans="1:27" x14ac:dyDescent="0.25">
      <c r="A64" s="34" t="s">
        <v>300</v>
      </c>
      <c r="B64" s="34"/>
      <c r="C64" s="34"/>
      <c r="D64" s="20"/>
      <c r="E64" s="20"/>
      <c r="F64" s="6">
        <f t="shared" si="4"/>
        <v>0</v>
      </c>
      <c r="G64" s="46"/>
      <c r="H64" s="20"/>
      <c r="I64" s="6">
        <f t="shared" si="5"/>
        <v>0</v>
      </c>
      <c r="J64" s="20"/>
      <c r="K64" s="20"/>
      <c r="L64" s="6">
        <f t="shared" si="6"/>
        <v>0</v>
      </c>
      <c r="M64" s="20"/>
      <c r="N64" s="20"/>
      <c r="O64" s="6">
        <f>M64+N64</f>
        <v>0</v>
      </c>
      <c r="P64" s="20"/>
      <c r="Q64" s="20"/>
      <c r="R64" s="6">
        <f>P64+Q64</f>
        <v>0</v>
      </c>
      <c r="S64" s="20"/>
      <c r="T64" s="20"/>
      <c r="U64" s="6">
        <f>S64+T64</f>
        <v>0</v>
      </c>
      <c r="V64" s="20"/>
      <c r="W64" s="20"/>
      <c r="X64" s="6">
        <f>V64+W64</f>
        <v>0</v>
      </c>
      <c r="Y64" s="26">
        <f t="shared" si="7"/>
        <v>0</v>
      </c>
    </row>
    <row r="65" spans="1:25" x14ac:dyDescent="0.25">
      <c r="A65" t="s">
        <v>34</v>
      </c>
      <c r="D65" s="20">
        <v>263543</v>
      </c>
      <c r="E65" s="20"/>
      <c r="F65" s="6">
        <f t="shared" si="4"/>
        <v>263543</v>
      </c>
      <c r="G65" s="46"/>
      <c r="H65" s="20"/>
      <c r="I65" s="6">
        <f t="shared" si="5"/>
        <v>0</v>
      </c>
      <c r="J65" s="20">
        <v>-1</v>
      </c>
      <c r="K65" s="20"/>
      <c r="L65" s="6">
        <f t="shared" si="6"/>
        <v>-1</v>
      </c>
      <c r="M65" s="20"/>
      <c r="N65" s="20"/>
      <c r="O65" s="6">
        <f>M65+N65</f>
        <v>0</v>
      </c>
      <c r="P65" s="20"/>
      <c r="Q65" s="20"/>
      <c r="R65" s="6">
        <f>P65+Q65</f>
        <v>0</v>
      </c>
      <c r="S65" s="20"/>
      <c r="T65" s="20"/>
      <c r="U65" s="6">
        <f>S65+T65</f>
        <v>0</v>
      </c>
      <c r="V65" s="20"/>
      <c r="W65" s="20"/>
      <c r="X65" s="6">
        <f>V65+W65</f>
        <v>0</v>
      </c>
      <c r="Y65" s="26">
        <f t="shared" si="7"/>
        <v>263542</v>
      </c>
    </row>
    <row r="66" spans="1:25" x14ac:dyDescent="0.25">
      <c r="A66" t="s">
        <v>35</v>
      </c>
      <c r="D66" s="20">
        <v>70671.100000000006</v>
      </c>
      <c r="E66" s="20"/>
      <c r="F66" s="6">
        <f t="shared" si="4"/>
        <v>70671.100000000006</v>
      </c>
      <c r="G66" s="46">
        <v>2152.15</v>
      </c>
      <c r="H66" s="20"/>
      <c r="I66" s="6">
        <f t="shared" si="5"/>
        <v>2152.15</v>
      </c>
      <c r="J66" s="20"/>
      <c r="K66" s="20"/>
      <c r="L66" s="6">
        <f t="shared" si="6"/>
        <v>0</v>
      </c>
      <c r="M66" s="20"/>
      <c r="N66" s="20"/>
      <c r="O66" s="6">
        <f>M66+N66</f>
        <v>0</v>
      </c>
      <c r="P66" s="20"/>
      <c r="Q66" s="20"/>
      <c r="R66" s="6">
        <f>P66+Q66</f>
        <v>0</v>
      </c>
      <c r="S66" s="20"/>
      <c r="T66" s="20"/>
      <c r="U66" s="6">
        <f>S66+T66</f>
        <v>0</v>
      </c>
      <c r="V66" s="20"/>
      <c r="W66" s="20"/>
      <c r="X66" s="6">
        <f>V66+W66</f>
        <v>0</v>
      </c>
      <c r="Y66" s="26">
        <f t="shared" si="7"/>
        <v>72823.25</v>
      </c>
    </row>
    <row r="67" spans="1:25" x14ac:dyDescent="0.25">
      <c r="A67" s="2" t="s">
        <v>36</v>
      </c>
      <c r="B67" s="2"/>
      <c r="C67" s="2"/>
      <c r="D67" s="6">
        <f>D64+D65-D66</f>
        <v>192871.9</v>
      </c>
      <c r="E67" s="6">
        <f>E64+E65-E66</f>
        <v>0</v>
      </c>
      <c r="F67" s="6">
        <f t="shared" si="4"/>
        <v>192871.9</v>
      </c>
      <c r="G67" s="43">
        <f>G64+G65-G66</f>
        <v>-2152.15</v>
      </c>
      <c r="H67" s="6">
        <f>H64+H65-H66</f>
        <v>0</v>
      </c>
      <c r="I67" s="6">
        <f t="shared" si="5"/>
        <v>-2152.15</v>
      </c>
      <c r="J67" s="43">
        <f>J64+J65-J66</f>
        <v>-1</v>
      </c>
      <c r="K67" s="6">
        <f>SUM(K64:K66)</f>
        <v>0</v>
      </c>
      <c r="L67" s="6">
        <f t="shared" si="6"/>
        <v>-1</v>
      </c>
      <c r="M67" s="6">
        <f>M64+M65-M66</f>
        <v>0</v>
      </c>
      <c r="N67" s="6">
        <f>N64+N65-N66</f>
        <v>0</v>
      </c>
      <c r="O67" s="6">
        <f>M67+N67</f>
        <v>0</v>
      </c>
      <c r="P67" s="6">
        <f>P64+P65-P66</f>
        <v>0</v>
      </c>
      <c r="Q67" s="6">
        <f>Q64+Q65-Q66</f>
        <v>0</v>
      </c>
      <c r="R67" s="6">
        <f>P67+Q67</f>
        <v>0</v>
      </c>
      <c r="S67" s="6">
        <f>S64+S65-S66</f>
        <v>0</v>
      </c>
      <c r="T67" s="6">
        <f>T64+T65-T66</f>
        <v>0</v>
      </c>
      <c r="U67" s="6">
        <f>S67+T67</f>
        <v>0</v>
      </c>
      <c r="V67" s="6">
        <f>V64+V65-V66</f>
        <v>0</v>
      </c>
      <c r="W67" s="6">
        <f>W64+W65-W66</f>
        <v>0</v>
      </c>
      <c r="X67" s="6">
        <f>V67+W67</f>
        <v>0</v>
      </c>
      <c r="Y67" s="26">
        <f t="shared" si="7"/>
        <v>190718.75</v>
      </c>
    </row>
    <row r="68" spans="1:25" x14ac:dyDescent="0.25">
      <c r="Y68" s="26"/>
    </row>
    <row r="69" spans="1:25" x14ac:dyDescent="0.25">
      <c r="A69" s="2" t="s">
        <v>37</v>
      </c>
      <c r="B69" s="2"/>
      <c r="C69" s="2"/>
      <c r="D69" s="6">
        <f t="shared" ref="D69:X69" si="21">D62+D67</f>
        <v>0</v>
      </c>
      <c r="E69" s="6">
        <f t="shared" si="21"/>
        <v>0</v>
      </c>
      <c r="F69" s="6">
        <f t="shared" si="21"/>
        <v>0</v>
      </c>
      <c r="G69" s="43">
        <f t="shared" si="21"/>
        <v>-5.9117155615240335E-12</v>
      </c>
      <c r="H69" s="6">
        <f t="shared" si="21"/>
        <v>0</v>
      </c>
      <c r="I69" s="6">
        <f t="shared" si="21"/>
        <v>-5.9117155615240335E-12</v>
      </c>
      <c r="J69" s="43">
        <f t="shared" si="21"/>
        <v>0</v>
      </c>
      <c r="K69" s="6">
        <f t="shared" si="21"/>
        <v>0</v>
      </c>
      <c r="L69" s="6">
        <f t="shared" si="6"/>
        <v>0</v>
      </c>
      <c r="M69" s="6">
        <f t="shared" si="21"/>
        <v>0</v>
      </c>
      <c r="N69" s="6">
        <f t="shared" si="21"/>
        <v>0</v>
      </c>
      <c r="O69" s="6">
        <f t="shared" si="21"/>
        <v>0</v>
      </c>
      <c r="P69" s="6">
        <f>P62+P67</f>
        <v>0</v>
      </c>
      <c r="Q69" s="6">
        <f>Q62+Q67</f>
        <v>0</v>
      </c>
      <c r="R69" s="6">
        <f>R62+R67</f>
        <v>0</v>
      </c>
      <c r="S69" s="6">
        <f t="shared" si="21"/>
        <v>0</v>
      </c>
      <c r="T69" s="6">
        <f t="shared" si="21"/>
        <v>0</v>
      </c>
      <c r="U69" s="6">
        <f t="shared" si="21"/>
        <v>0</v>
      </c>
      <c r="V69" s="6">
        <f t="shared" si="21"/>
        <v>-4179.6000000000004</v>
      </c>
      <c r="W69" s="6">
        <f t="shared" si="21"/>
        <v>0</v>
      </c>
      <c r="X69" s="6">
        <f t="shared" si="21"/>
        <v>-4179.6000000000004</v>
      </c>
      <c r="Y69" s="6">
        <f>Y62+Y67</f>
        <v>-4179.6000000000349</v>
      </c>
    </row>
    <row r="70" spans="1:25" x14ac:dyDescent="0.25">
      <c r="A70" t="s">
        <v>38</v>
      </c>
      <c r="D70" s="6">
        <f t="shared" ref="D70:X70" si="22">D71-D69</f>
        <v>1.84</v>
      </c>
      <c r="E70" s="6">
        <f t="shared" si="22"/>
        <v>0</v>
      </c>
      <c r="F70" s="6">
        <f t="shared" si="22"/>
        <v>1.84</v>
      </c>
      <c r="G70" s="43">
        <f t="shared" si="22"/>
        <v>-2.1399999999940884</v>
      </c>
      <c r="H70" s="6">
        <f t="shared" si="22"/>
        <v>0</v>
      </c>
      <c r="I70" s="6">
        <f t="shared" si="22"/>
        <v>-2.1399999999940884</v>
      </c>
      <c r="J70" s="43">
        <f>J63+J68</f>
        <v>0</v>
      </c>
      <c r="K70" s="6">
        <f>K63+K68</f>
        <v>0</v>
      </c>
      <c r="L70" s="6">
        <f t="shared" si="6"/>
        <v>0</v>
      </c>
      <c r="M70" s="6">
        <f t="shared" si="22"/>
        <v>1.1499999999999999</v>
      </c>
      <c r="N70" s="6">
        <f t="shared" si="22"/>
        <v>0</v>
      </c>
      <c r="O70" s="6">
        <f t="shared" si="22"/>
        <v>1.1499999999999999</v>
      </c>
      <c r="P70" s="6">
        <f>P71-P69</f>
        <v>-1.21</v>
      </c>
      <c r="Q70" s="6">
        <f>Q71-Q69</f>
        <v>0</v>
      </c>
      <c r="R70" s="6">
        <f>R71-R69</f>
        <v>-1.21</v>
      </c>
      <c r="S70" s="6">
        <f t="shared" si="22"/>
        <v>0</v>
      </c>
      <c r="T70" s="6">
        <f t="shared" si="22"/>
        <v>0</v>
      </c>
      <c r="U70" s="6">
        <f t="shared" si="22"/>
        <v>0</v>
      </c>
      <c r="V70" s="6">
        <f t="shared" si="22"/>
        <v>17367.22</v>
      </c>
      <c r="W70" s="6">
        <f t="shared" si="22"/>
        <v>0</v>
      </c>
      <c r="X70" s="6">
        <f t="shared" si="22"/>
        <v>17367.22</v>
      </c>
      <c r="Y70" s="6">
        <f>Y71-Y69</f>
        <v>17366.860000000037</v>
      </c>
    </row>
    <row r="71" spans="1:25" x14ac:dyDescent="0.25">
      <c r="A71" s="2" t="s">
        <v>39</v>
      </c>
      <c r="B71" s="2"/>
      <c r="C71" s="2"/>
      <c r="D71" s="6">
        <f t="shared" ref="D71:X71" si="23">D41</f>
        <v>1.84</v>
      </c>
      <c r="E71" s="6">
        <f t="shared" si="23"/>
        <v>0</v>
      </c>
      <c r="F71" s="6">
        <f t="shared" si="23"/>
        <v>1.84</v>
      </c>
      <c r="G71" s="43">
        <f t="shared" si="23"/>
        <v>-2.14</v>
      </c>
      <c r="H71" s="6">
        <f t="shared" si="23"/>
        <v>0</v>
      </c>
      <c r="I71" s="6">
        <f t="shared" si="23"/>
        <v>-2.14</v>
      </c>
      <c r="J71" s="43">
        <f>J64+J69</f>
        <v>0</v>
      </c>
      <c r="K71" s="6">
        <f>K64+K69</f>
        <v>0</v>
      </c>
      <c r="L71" s="6">
        <f t="shared" si="6"/>
        <v>0</v>
      </c>
      <c r="M71" s="6">
        <f t="shared" si="23"/>
        <v>1.1499999999999999</v>
      </c>
      <c r="N71" s="6">
        <f t="shared" si="23"/>
        <v>0</v>
      </c>
      <c r="O71" s="6">
        <f t="shared" si="23"/>
        <v>1.1499999999999999</v>
      </c>
      <c r="P71" s="6">
        <f>P41</f>
        <v>-1.21</v>
      </c>
      <c r="Q71" s="6">
        <f>Q41</f>
        <v>0</v>
      </c>
      <c r="R71" s="6">
        <f>R41</f>
        <v>-1.21</v>
      </c>
      <c r="S71" s="6">
        <f t="shared" si="23"/>
        <v>0</v>
      </c>
      <c r="T71" s="6">
        <f t="shared" si="23"/>
        <v>0</v>
      </c>
      <c r="U71" s="6">
        <f t="shared" si="23"/>
        <v>0</v>
      </c>
      <c r="V71" s="6">
        <f t="shared" si="23"/>
        <v>13187.62</v>
      </c>
      <c r="W71" s="6">
        <f t="shared" si="23"/>
        <v>0</v>
      </c>
      <c r="X71" s="6">
        <f t="shared" si="23"/>
        <v>13187.62</v>
      </c>
      <c r="Y71" s="6">
        <f>Y41</f>
        <v>13187.26</v>
      </c>
    </row>
  </sheetData>
  <sheetProtection sheet="1" objects="1" scenarios="1"/>
  <customSheetViews>
    <customSheetView guid="{E68B3865-8D72-47E7-BE32-0FF7EB09E889}" scale="80" fitToPage="1" hiddenColumns="1">
      <pane xSplit="1" ySplit="6" topLeftCell="B7" activePane="bottomRight" state="frozen"/>
      <selection pane="bottomRight" activeCell="W12" sqref="W12"/>
      <pageMargins left="0.7" right="0.7" top="0.75" bottom="0.75" header="0.3" footer="0.3"/>
      <pageSetup scale="36" orientation="landscape" r:id="rId1"/>
    </customSheetView>
    <customSheetView guid="{DE6E911D-85BF-467A-AA00-1E84C5349CF7}" scale="80" fitToPage="1" hiddenColumns="1">
      <pane xSplit="1" ySplit="6" topLeftCell="B7" activePane="bottomRight" state="frozen"/>
      <selection pane="bottomRight" activeCell="W12" sqref="W12"/>
      <pageMargins left="0.7" right="0.7" top="0.75" bottom="0.75" header="0.3" footer="0.3"/>
      <pageSetup scale="36" orientation="landscape" r:id="rId2"/>
    </customSheetView>
    <customSheetView guid="{A6F79E61-D6A3-44FD-B4A4-4724DF74349B}" showPageBreaks="1" fitToPage="1">
      <pane xSplit="1" ySplit="6" topLeftCell="H7" activePane="bottomRight" state="frozen"/>
      <selection pane="bottomRight" activeCell="Y12" sqref="Y12"/>
      <pageMargins left="0.7" right="0.7" top="0.75" bottom="0.75" header="0.3" footer="0.3"/>
      <pageSetup scale="37" orientation="landscape" horizontalDpi="1200" r:id="rId3"/>
    </customSheetView>
    <customSheetView guid="{D62C3EC3-27D1-41F3-9A4E-06307CA202CE}" showPageBreaks="1" fitToPage="1" showRuler="0">
      <pane xSplit="1" ySplit="6" topLeftCell="M7" activePane="bottomRight" state="frozen"/>
      <selection pane="bottomRight" activeCell="Q49" sqref="Q49"/>
      <pageMargins left="0.7" right="0.7" top="0.75" bottom="0.75" header="0.3" footer="0.3"/>
      <pageSetup scale="43" orientation="landscape" horizontalDpi="1200" r:id="rId4"/>
      <headerFooter alignWithMargins="0"/>
    </customSheetView>
    <customSheetView guid="{EC03C3C8-7E57-47C6-8413-F484E8C46A0C}" showPageBreaks="1" fitToPage="1">
      <pane xSplit="1" ySplit="6" topLeftCell="B41" activePane="bottomRight" state="frozen"/>
      <selection pane="bottomRight" activeCell="A50" sqref="A50"/>
      <pageMargins left="0.7" right="0.7" top="0.75" bottom="0.75" header="0.3" footer="0.3"/>
      <pageSetup scale="43" orientation="landscape" horizontalDpi="1200" r:id="rId5"/>
    </customSheetView>
    <customSheetView guid="{2B2709E2-6DF4-4CC4-88D0-056FB306137C}" fitToPage="1">
      <pane xSplit="1" ySplit="6" topLeftCell="B46" activePane="bottomRight" state="frozen"/>
      <selection pane="bottomRight" activeCell="J66" sqref="J66"/>
      <pageMargins left="0.7" right="0.7" top="0.75" bottom="0.75" header="0.3" footer="0.3"/>
      <pageSetup scale="43" orientation="landscape" horizontalDpi="1200" r:id="rId6"/>
    </customSheetView>
  </customSheetViews>
  <phoneticPr fontId="0" type="noConversion"/>
  <pageMargins left="0.7" right="0.7" top="0.75" bottom="0.75" header="0.3" footer="0.3"/>
  <pageSetup scale="36" orientation="landscape" r:id="rId7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12" sqref="F12"/>
    </sheetView>
  </sheetViews>
  <sheetFormatPr defaultRowHeight="15" x14ac:dyDescent="0.25"/>
  <cols>
    <col min="1" max="1" width="34" customWidth="1"/>
    <col min="2" max="2" width="15" style="43" bestFit="1" customWidth="1"/>
    <col min="3" max="3" width="12.7109375" style="6" bestFit="1" customWidth="1"/>
    <col min="4" max="4" width="13.5703125" style="6" bestFit="1" customWidth="1"/>
    <col min="5" max="5" width="15.140625" style="6" customWidth="1"/>
    <col min="6" max="6" width="12.7109375" style="6" bestFit="1" customWidth="1"/>
    <col min="7" max="7" width="13.5703125" style="6" bestFit="1" customWidth="1"/>
    <col min="8" max="8" width="13.42578125" style="43" bestFit="1" customWidth="1"/>
    <col min="9" max="9" width="12.7109375" style="6" bestFit="1" customWidth="1"/>
    <col min="10" max="10" width="11.85546875" style="6" customWidth="1"/>
    <col min="11" max="11" width="10.85546875" style="6" bestFit="1" customWidth="1"/>
    <col min="12" max="13" width="11.85546875" style="6" customWidth="1"/>
    <col min="14" max="14" width="14" style="6" customWidth="1"/>
    <col min="15" max="15" width="11.85546875" style="6" bestFit="1" customWidth="1"/>
    <col min="16" max="17" width="11.85546875" style="6" customWidth="1"/>
    <col min="18" max="18" width="12.7109375" style="6" bestFit="1" customWidth="1"/>
    <col min="19" max="19" width="11.85546875" style="6" customWidth="1"/>
    <col min="20" max="20" width="13.85546875" style="6" customWidth="1"/>
    <col min="21" max="21" width="11.85546875" style="6" bestFit="1" customWidth="1"/>
    <col min="22" max="23" width="11.85546875" style="6" customWidth="1"/>
    <col min="24" max="24" width="13.140625" style="6" customWidth="1"/>
    <col min="25" max="25" width="18.7109375" style="6" customWidth="1"/>
  </cols>
  <sheetData>
    <row r="1" spans="1:25" ht="23.25" x14ac:dyDescent="0.35">
      <c r="A1" s="5" t="s">
        <v>0</v>
      </c>
    </row>
    <row r="2" spans="1:25" x14ac:dyDescent="0.25">
      <c r="A2" t="s">
        <v>1</v>
      </c>
    </row>
    <row r="3" spans="1:25" x14ac:dyDescent="0.25">
      <c r="A3" s="1">
        <f>'OEO-Other'!A3</f>
        <v>43830</v>
      </c>
    </row>
    <row r="4" spans="1:25" x14ac:dyDescent="0.25">
      <c r="A4" s="1"/>
    </row>
    <row r="5" spans="1:25" ht="60" x14ac:dyDescent="0.25">
      <c r="A5" s="1"/>
      <c r="B5" s="44" t="s">
        <v>40</v>
      </c>
      <c r="C5" s="7" t="s">
        <v>47</v>
      </c>
      <c r="D5" s="7" t="s">
        <v>49</v>
      </c>
      <c r="E5" s="7" t="s">
        <v>41</v>
      </c>
      <c r="F5" s="7" t="s">
        <v>47</v>
      </c>
      <c r="G5" s="7" t="s">
        <v>48</v>
      </c>
      <c r="H5" s="44" t="s">
        <v>42</v>
      </c>
      <c r="I5" s="7" t="s">
        <v>47</v>
      </c>
      <c r="J5" s="7" t="s">
        <v>50</v>
      </c>
      <c r="K5" s="7" t="s">
        <v>43</v>
      </c>
      <c r="L5" s="7" t="s">
        <v>47</v>
      </c>
      <c r="M5" s="7" t="s">
        <v>51</v>
      </c>
      <c r="N5" s="7" t="s">
        <v>52</v>
      </c>
      <c r="O5" s="7" t="s">
        <v>44</v>
      </c>
      <c r="P5" s="7" t="s">
        <v>47</v>
      </c>
      <c r="Q5" s="7" t="s">
        <v>181</v>
      </c>
      <c r="R5" s="7" t="s">
        <v>45</v>
      </c>
      <c r="S5" s="7" t="s">
        <v>47</v>
      </c>
      <c r="T5" s="7" t="s">
        <v>182</v>
      </c>
      <c r="U5" s="7" t="s">
        <v>46</v>
      </c>
      <c r="V5" s="7" t="s">
        <v>47</v>
      </c>
      <c r="W5" s="7" t="s">
        <v>183</v>
      </c>
      <c r="X5" s="7" t="s">
        <v>184</v>
      </c>
      <c r="Y5" s="7" t="s">
        <v>83</v>
      </c>
    </row>
    <row r="6" spans="1:25" x14ac:dyDescent="0.25">
      <c r="X6" s="22"/>
      <c r="Y6" s="22"/>
    </row>
    <row r="7" spans="1:25" x14ac:dyDescent="0.25">
      <c r="A7" s="3" t="s">
        <v>2</v>
      </c>
      <c r="X7" s="22"/>
      <c r="Y7" s="22"/>
    </row>
    <row r="8" spans="1:25" x14ac:dyDescent="0.25">
      <c r="A8" s="4" t="s">
        <v>3</v>
      </c>
      <c r="B8" s="47"/>
      <c r="C8" s="23"/>
      <c r="D8" s="6">
        <f>B8+C8</f>
        <v>0</v>
      </c>
      <c r="E8" s="20">
        <v>-206733.41</v>
      </c>
      <c r="F8" s="20"/>
      <c r="G8" s="49">
        <f>E8+F8</f>
        <v>-206733.41</v>
      </c>
      <c r="H8" s="46">
        <v>0</v>
      </c>
      <c r="I8" s="20"/>
      <c r="J8" s="6">
        <f>H8+I8</f>
        <v>0</v>
      </c>
      <c r="K8" s="20">
        <v>0</v>
      </c>
      <c r="L8" s="20"/>
      <c r="M8" s="6">
        <f>K8+L8</f>
        <v>0</v>
      </c>
      <c r="N8" s="6">
        <f>D8+G8+J8+M8</f>
        <v>-206733.41</v>
      </c>
      <c r="O8" s="20">
        <v>0</v>
      </c>
      <c r="P8" s="20"/>
      <c r="Q8" s="6">
        <f>O8+P8</f>
        <v>0</v>
      </c>
      <c r="R8" s="20">
        <v>0</v>
      </c>
      <c r="S8" s="20"/>
      <c r="T8" s="6">
        <f>R8+S8</f>
        <v>0</v>
      </c>
      <c r="U8" s="20">
        <v>0</v>
      </c>
      <c r="V8" s="20"/>
      <c r="W8" s="6">
        <f>U8+V8</f>
        <v>0</v>
      </c>
      <c r="X8" s="20"/>
      <c r="Y8" s="22">
        <f t="shared" ref="Y8:Y13" si="0">N8+Q8+T8+W8</f>
        <v>-206733.41</v>
      </c>
    </row>
    <row r="9" spans="1:25" x14ac:dyDescent="0.25">
      <c r="A9" s="4" t="s">
        <v>4</v>
      </c>
      <c r="B9" s="51"/>
      <c r="C9" s="23"/>
      <c r="D9" s="6">
        <f>B9+C9</f>
        <v>0</v>
      </c>
      <c r="E9" s="20">
        <f>315494.23-315494.23</f>
        <v>0</v>
      </c>
      <c r="F9" s="20"/>
      <c r="G9" s="6">
        <f>E9+F9</f>
        <v>0</v>
      </c>
      <c r="H9" s="46"/>
      <c r="I9" s="20"/>
      <c r="J9" s="6">
        <f>H9+I9</f>
        <v>0</v>
      </c>
      <c r="K9" s="20"/>
      <c r="L9" s="20"/>
      <c r="M9" s="6">
        <f>K9+L9</f>
        <v>0</v>
      </c>
      <c r="N9" s="6">
        <f>D9+G9+J9+M9</f>
        <v>0</v>
      </c>
      <c r="O9" s="20"/>
      <c r="P9" s="20"/>
      <c r="Q9" s="6">
        <f>O9+P9</f>
        <v>0</v>
      </c>
      <c r="R9" s="20"/>
      <c r="S9" s="20"/>
      <c r="T9" s="6">
        <f>R9+S9</f>
        <v>0</v>
      </c>
      <c r="U9" s="20"/>
      <c r="V9" s="20"/>
      <c r="W9" s="6">
        <f>U9+V9</f>
        <v>0</v>
      </c>
      <c r="X9" s="20"/>
      <c r="Y9" s="22">
        <f t="shared" si="0"/>
        <v>0</v>
      </c>
    </row>
    <row r="10" spans="1:25" x14ac:dyDescent="0.25">
      <c r="A10" s="4" t="s">
        <v>6</v>
      </c>
      <c r="B10" s="47"/>
      <c r="C10" s="23"/>
      <c r="D10" s="6">
        <f>B10+C10</f>
        <v>0</v>
      </c>
      <c r="E10" s="20">
        <v>1343.58</v>
      </c>
      <c r="F10" s="20"/>
      <c r="G10" s="6">
        <f>E10+F10</f>
        <v>1343.58</v>
      </c>
      <c r="H10" s="46"/>
      <c r="I10" s="20"/>
      <c r="J10" s="6">
        <f>H10+I10</f>
        <v>0</v>
      </c>
      <c r="K10" s="20"/>
      <c r="L10" s="20"/>
      <c r="M10" s="6">
        <f>K10+L10</f>
        <v>0</v>
      </c>
      <c r="N10" s="6">
        <f>D10+G10+J10+M10</f>
        <v>1343.58</v>
      </c>
      <c r="O10" s="20"/>
      <c r="P10" s="20"/>
      <c r="Q10" s="6">
        <f>O10+P10</f>
        <v>0</v>
      </c>
      <c r="R10" s="20"/>
      <c r="S10" s="20"/>
      <c r="T10" s="6">
        <f>R10+S10</f>
        <v>0</v>
      </c>
      <c r="U10" s="20"/>
      <c r="V10" s="20"/>
      <c r="W10" s="6">
        <f>U10+V10</f>
        <v>0</v>
      </c>
      <c r="X10" s="20"/>
      <c r="Y10" s="22">
        <f t="shared" si="0"/>
        <v>1343.58</v>
      </c>
    </row>
    <row r="11" spans="1:25" x14ac:dyDescent="0.25">
      <c r="A11" s="4" t="s">
        <v>5</v>
      </c>
      <c r="B11" s="47"/>
      <c r="C11" s="23"/>
      <c r="D11" s="6">
        <f>B11+C11</f>
        <v>0</v>
      </c>
      <c r="E11" s="20">
        <v>315494.23</v>
      </c>
      <c r="F11" s="20"/>
      <c r="G11" s="6">
        <f>E11+F11</f>
        <v>315494.23</v>
      </c>
      <c r="H11" s="20"/>
      <c r="I11" s="20"/>
      <c r="J11" s="6">
        <f>H11+I11</f>
        <v>0</v>
      </c>
      <c r="K11" s="20"/>
      <c r="L11" s="20"/>
      <c r="M11" s="6">
        <f>K11+L11</f>
        <v>0</v>
      </c>
      <c r="N11" s="6">
        <f>D11+G11+J11+M11</f>
        <v>315494.23</v>
      </c>
      <c r="O11" s="20"/>
      <c r="P11" s="20"/>
      <c r="Q11" s="6">
        <f>O11+P11</f>
        <v>0</v>
      </c>
      <c r="R11" s="20"/>
      <c r="S11" s="20"/>
      <c r="T11" s="6">
        <f>R11+S11</f>
        <v>0</v>
      </c>
      <c r="U11" s="20"/>
      <c r="V11" s="20"/>
      <c r="W11" s="6">
        <f>U11+V11</f>
        <v>0</v>
      </c>
      <c r="X11" s="20"/>
      <c r="Y11" s="22">
        <f t="shared" si="0"/>
        <v>315494.23</v>
      </c>
    </row>
    <row r="12" spans="1:25" x14ac:dyDescent="0.25">
      <c r="A12" s="4" t="s">
        <v>61</v>
      </c>
      <c r="B12" s="47"/>
      <c r="C12" s="23"/>
      <c r="D12" s="6">
        <f>B12+C12</f>
        <v>0</v>
      </c>
      <c r="E12" s="20">
        <f>1343.58-1343.58</f>
        <v>0</v>
      </c>
      <c r="F12" s="20"/>
      <c r="G12" s="6">
        <f>E12+F12</f>
        <v>0</v>
      </c>
      <c r="H12" s="46"/>
      <c r="I12" s="20"/>
      <c r="J12" s="6">
        <f>H12+I12</f>
        <v>0</v>
      </c>
      <c r="K12" s="20"/>
      <c r="L12" s="20"/>
      <c r="M12" s="6">
        <f>K12+L12</f>
        <v>0</v>
      </c>
      <c r="N12" s="6">
        <f>D12+G12+J12+M12</f>
        <v>0</v>
      </c>
      <c r="O12" s="20"/>
      <c r="P12" s="20"/>
      <c r="Q12" s="6">
        <f>O12+P12</f>
        <v>0</v>
      </c>
      <c r="R12" s="20"/>
      <c r="S12" s="20"/>
      <c r="T12" s="6">
        <f>R12+S12</f>
        <v>0</v>
      </c>
      <c r="U12" s="20"/>
      <c r="V12" s="20"/>
      <c r="W12" s="6">
        <f>U12+V12</f>
        <v>0</v>
      </c>
      <c r="X12" s="20"/>
      <c r="Y12" s="22">
        <f t="shared" si="0"/>
        <v>0</v>
      </c>
    </row>
    <row r="13" spans="1:25" x14ac:dyDescent="0.25">
      <c r="A13" s="2" t="s">
        <v>7</v>
      </c>
      <c r="B13" s="43">
        <f>SUM(B8:B12)</f>
        <v>0</v>
      </c>
      <c r="C13" s="6">
        <f t="shared" ref="C13:U13" si="1">SUM(C8:C12)</f>
        <v>0</v>
      </c>
      <c r="D13" s="6">
        <f t="shared" si="1"/>
        <v>0</v>
      </c>
      <c r="E13" s="6">
        <f t="shared" si="1"/>
        <v>110104.39999999997</v>
      </c>
      <c r="F13" s="6">
        <f t="shared" si="1"/>
        <v>0</v>
      </c>
      <c r="G13" s="6">
        <f t="shared" si="1"/>
        <v>110104.39999999997</v>
      </c>
      <c r="H13" s="43">
        <f t="shared" si="1"/>
        <v>0</v>
      </c>
      <c r="I13" s="6">
        <f t="shared" si="1"/>
        <v>0</v>
      </c>
      <c r="J13" s="6">
        <f t="shared" si="1"/>
        <v>0</v>
      </c>
      <c r="K13" s="6">
        <f t="shared" si="1"/>
        <v>0</v>
      </c>
      <c r="L13" s="6">
        <f t="shared" si="1"/>
        <v>0</v>
      </c>
      <c r="M13" s="6">
        <f t="shared" si="1"/>
        <v>0</v>
      </c>
      <c r="N13" s="6">
        <f t="shared" si="1"/>
        <v>110104.39999999997</v>
      </c>
      <c r="O13" s="6">
        <f t="shared" si="1"/>
        <v>0</v>
      </c>
      <c r="P13" s="6">
        <f>SUM(P8:P12)</f>
        <v>0</v>
      </c>
      <c r="Q13" s="6">
        <f>SUM(Q8:Q12)</f>
        <v>0</v>
      </c>
      <c r="R13" s="6">
        <f t="shared" si="1"/>
        <v>0</v>
      </c>
      <c r="S13" s="6">
        <f t="shared" si="1"/>
        <v>0</v>
      </c>
      <c r="T13" s="6">
        <f t="shared" si="1"/>
        <v>0</v>
      </c>
      <c r="U13" s="6">
        <f t="shared" si="1"/>
        <v>0</v>
      </c>
      <c r="V13" s="6">
        <f>SUM(V8:V12)</f>
        <v>0</v>
      </c>
      <c r="W13" s="6">
        <f>SUM(W8:W12)</f>
        <v>0</v>
      </c>
      <c r="X13" s="22">
        <f>SUM(X8:X12)</f>
        <v>0</v>
      </c>
      <c r="Y13" s="22">
        <f t="shared" si="0"/>
        <v>110104.39999999997</v>
      </c>
    </row>
    <row r="14" spans="1:25" x14ac:dyDescent="0.25">
      <c r="X14" s="22"/>
      <c r="Y14" s="22"/>
    </row>
    <row r="15" spans="1:25" x14ac:dyDescent="0.25">
      <c r="A15" s="3" t="s">
        <v>8</v>
      </c>
      <c r="X15" s="22"/>
      <c r="Y15" s="22"/>
    </row>
    <row r="16" spans="1:25" x14ac:dyDescent="0.25">
      <c r="A16" s="4" t="s">
        <v>9</v>
      </c>
      <c r="B16" s="46"/>
      <c r="C16" s="20"/>
      <c r="D16" s="6">
        <f>B16+C16</f>
        <v>0</v>
      </c>
      <c r="E16" s="20">
        <v>108763.73</v>
      </c>
      <c r="F16" s="20"/>
      <c r="G16" s="6">
        <f>E16+F16</f>
        <v>108763.73</v>
      </c>
      <c r="H16" s="46"/>
      <c r="I16" s="20"/>
      <c r="J16" s="6">
        <f>H16+I16</f>
        <v>0</v>
      </c>
      <c r="K16" s="20"/>
      <c r="L16" s="20"/>
      <c r="M16" s="6">
        <f>K16+L16</f>
        <v>0</v>
      </c>
      <c r="N16" s="6">
        <f t="shared" ref="N16:N21" si="2">D16+G16+J16+M16</f>
        <v>108763.73</v>
      </c>
      <c r="O16" s="20"/>
      <c r="P16" s="20"/>
      <c r="Q16" s="6">
        <f>O16+P16</f>
        <v>0</v>
      </c>
      <c r="R16" s="20"/>
      <c r="S16" s="20"/>
      <c r="T16" s="6">
        <f>R16+S16</f>
        <v>0</v>
      </c>
      <c r="U16" s="20"/>
      <c r="V16" s="20"/>
      <c r="W16" s="6">
        <f>U16+V16</f>
        <v>0</v>
      </c>
      <c r="X16" s="20"/>
      <c r="Y16" s="22">
        <f t="shared" ref="Y16:Y21" si="3">N16+Q16+T16+W16</f>
        <v>108763.73</v>
      </c>
    </row>
    <row r="17" spans="1:25" x14ac:dyDescent="0.25">
      <c r="A17" s="4" t="s">
        <v>10</v>
      </c>
      <c r="B17" s="46"/>
      <c r="C17" s="20"/>
      <c r="D17" s="6">
        <f>B17+C17</f>
        <v>0</v>
      </c>
      <c r="E17" s="20">
        <v>1340.79</v>
      </c>
      <c r="F17" s="20"/>
      <c r="G17" s="6">
        <f>E17+F17</f>
        <v>1340.79</v>
      </c>
      <c r="H17" s="46"/>
      <c r="I17" s="20"/>
      <c r="J17" s="6">
        <f>H17+I17</f>
        <v>0</v>
      </c>
      <c r="K17" s="20"/>
      <c r="L17" s="20"/>
      <c r="M17" s="6">
        <f>K17+L17</f>
        <v>0</v>
      </c>
      <c r="N17" s="6">
        <f t="shared" si="2"/>
        <v>1340.79</v>
      </c>
      <c r="O17" s="20"/>
      <c r="P17" s="20"/>
      <c r="Q17" s="6">
        <f>O17+P17</f>
        <v>0</v>
      </c>
      <c r="R17" s="20"/>
      <c r="S17" s="20"/>
      <c r="T17" s="6">
        <f>R17+S17</f>
        <v>0</v>
      </c>
      <c r="U17" s="20"/>
      <c r="V17" s="20"/>
      <c r="W17" s="6">
        <f>U17+V17</f>
        <v>0</v>
      </c>
      <c r="X17" s="20"/>
      <c r="Y17" s="22">
        <f t="shared" si="3"/>
        <v>1340.79</v>
      </c>
    </row>
    <row r="18" spans="1:25" x14ac:dyDescent="0.25">
      <c r="A18" s="4" t="s">
        <v>190</v>
      </c>
      <c r="B18" s="46"/>
      <c r="C18" s="20"/>
      <c r="D18" s="6">
        <f>B18+C18</f>
        <v>0</v>
      </c>
      <c r="E18" s="20"/>
      <c r="F18" s="20"/>
      <c r="G18" s="6">
        <f>E18+F18</f>
        <v>0</v>
      </c>
      <c r="H18" s="46"/>
      <c r="I18" s="20"/>
      <c r="J18" s="6">
        <f>H18+I18</f>
        <v>0</v>
      </c>
      <c r="K18" s="20"/>
      <c r="L18" s="20"/>
      <c r="M18" s="6">
        <f>K18+L18</f>
        <v>0</v>
      </c>
      <c r="N18" s="6">
        <f t="shared" si="2"/>
        <v>0</v>
      </c>
      <c r="O18" s="20"/>
      <c r="P18" s="20"/>
      <c r="Q18" s="6">
        <f>O18+P18</f>
        <v>0</v>
      </c>
      <c r="R18" s="20"/>
      <c r="S18" s="20"/>
      <c r="T18" s="6">
        <f>R18+S18</f>
        <v>0</v>
      </c>
      <c r="U18" s="20"/>
      <c r="V18" s="20"/>
      <c r="W18" s="6">
        <f>U18+V18</f>
        <v>0</v>
      </c>
      <c r="X18" s="20"/>
      <c r="Y18" s="22">
        <f t="shared" si="3"/>
        <v>0</v>
      </c>
    </row>
    <row r="19" spans="1:25" x14ac:dyDescent="0.25">
      <c r="A19" s="4" t="s">
        <v>11</v>
      </c>
      <c r="B19" s="46"/>
      <c r="C19" s="20"/>
      <c r="D19" s="6">
        <f>B19+C19</f>
        <v>0</v>
      </c>
      <c r="E19" s="20"/>
      <c r="F19" s="20"/>
      <c r="G19" s="6">
        <f>E19+F19</f>
        <v>0</v>
      </c>
      <c r="H19" s="46"/>
      <c r="I19" s="20"/>
      <c r="J19" s="6">
        <f>H19+I19</f>
        <v>0</v>
      </c>
      <c r="K19" s="20"/>
      <c r="L19" s="20"/>
      <c r="M19" s="6">
        <f>K19+L19</f>
        <v>0</v>
      </c>
      <c r="N19" s="6">
        <f t="shared" si="2"/>
        <v>0</v>
      </c>
      <c r="O19" s="20"/>
      <c r="P19" s="20"/>
      <c r="Q19" s="6">
        <f>O19+P19</f>
        <v>0</v>
      </c>
      <c r="R19" s="20"/>
      <c r="S19" s="20"/>
      <c r="T19" s="6">
        <f>R19+S19</f>
        <v>0</v>
      </c>
      <c r="U19" s="20"/>
      <c r="V19" s="20"/>
      <c r="W19" s="6">
        <f>U19+V19</f>
        <v>0</v>
      </c>
      <c r="X19" s="20"/>
      <c r="Y19" s="22">
        <f t="shared" si="3"/>
        <v>0</v>
      </c>
    </row>
    <row r="20" spans="1:25" x14ac:dyDescent="0.25">
      <c r="A20" s="4" t="s">
        <v>12</v>
      </c>
      <c r="B20" s="46"/>
      <c r="C20" s="20"/>
      <c r="D20" s="6">
        <f>B20+C20</f>
        <v>0</v>
      </c>
      <c r="E20" s="20"/>
      <c r="F20" s="20"/>
      <c r="G20" s="6">
        <f>E20+F20</f>
        <v>0</v>
      </c>
      <c r="H20" s="46"/>
      <c r="I20" s="20"/>
      <c r="J20" s="6">
        <f>H20+I20</f>
        <v>0</v>
      </c>
      <c r="K20" s="20"/>
      <c r="L20" s="20"/>
      <c r="M20" s="6">
        <f>K20+L20</f>
        <v>0</v>
      </c>
      <c r="N20" s="6">
        <f t="shared" si="2"/>
        <v>0</v>
      </c>
      <c r="O20" s="20"/>
      <c r="P20" s="20"/>
      <c r="Q20" s="6">
        <f>O20+P20</f>
        <v>0</v>
      </c>
      <c r="R20" s="20"/>
      <c r="S20" s="20"/>
      <c r="T20" s="6">
        <f>R20+S20</f>
        <v>0</v>
      </c>
      <c r="U20" s="20"/>
      <c r="V20" s="20"/>
      <c r="W20" s="6">
        <f>U20+V20</f>
        <v>0</v>
      </c>
      <c r="X20" s="20"/>
      <c r="Y20" s="22">
        <f t="shared" si="3"/>
        <v>0</v>
      </c>
    </row>
    <row r="21" spans="1:25" x14ac:dyDescent="0.25">
      <c r="A21" s="2" t="s">
        <v>13</v>
      </c>
      <c r="B21" s="43">
        <f>SUM(B16:B20)</f>
        <v>0</v>
      </c>
      <c r="C21" s="6">
        <f>SUM(C16:C20)</f>
        <v>0</v>
      </c>
      <c r="D21" s="6">
        <f>SUM(D16:D20)</f>
        <v>0</v>
      </c>
      <c r="E21" s="6">
        <f t="shared" ref="E21:U21" si="4">SUM(E16:E20)</f>
        <v>110104.51999999999</v>
      </c>
      <c r="F21" s="6">
        <f>SUM(F16:F20)</f>
        <v>0</v>
      </c>
      <c r="G21" s="6">
        <f>SUM(G16:G20)</f>
        <v>110104.51999999999</v>
      </c>
      <c r="H21" s="43">
        <f t="shared" si="4"/>
        <v>0</v>
      </c>
      <c r="I21" s="6">
        <f t="shared" si="4"/>
        <v>0</v>
      </c>
      <c r="J21" s="6">
        <f>SUM(J16:J20)</f>
        <v>0</v>
      </c>
      <c r="K21" s="6">
        <f t="shared" si="4"/>
        <v>0</v>
      </c>
      <c r="L21" s="6">
        <f t="shared" si="4"/>
        <v>0</v>
      </c>
      <c r="M21" s="6">
        <f>SUM(M16:M20)</f>
        <v>0</v>
      </c>
      <c r="N21" s="6">
        <f t="shared" si="2"/>
        <v>110104.51999999999</v>
      </c>
      <c r="O21" s="6">
        <f t="shared" si="4"/>
        <v>0</v>
      </c>
      <c r="P21" s="6">
        <f>SUM(P16:P20)</f>
        <v>0</v>
      </c>
      <c r="Q21" s="6">
        <f>SUM(Q16:Q20)</f>
        <v>0</v>
      </c>
      <c r="R21" s="6">
        <f t="shared" si="4"/>
        <v>0</v>
      </c>
      <c r="S21" s="6">
        <f t="shared" si="4"/>
        <v>0</v>
      </c>
      <c r="T21" s="6">
        <f>SUM(T16:T20)</f>
        <v>0</v>
      </c>
      <c r="U21" s="6">
        <f t="shared" si="4"/>
        <v>0</v>
      </c>
      <c r="V21" s="6">
        <f>SUM(V16:V20)</f>
        <v>0</v>
      </c>
      <c r="W21" s="6">
        <f>SUM(W16:W20)</f>
        <v>0</v>
      </c>
      <c r="X21" s="22">
        <f>SUM(X16:X20)</f>
        <v>0</v>
      </c>
      <c r="Y21" s="22">
        <f t="shared" si="3"/>
        <v>110104.51999999999</v>
      </c>
    </row>
    <row r="22" spans="1:25" x14ac:dyDescent="0.25">
      <c r="X22" s="22"/>
      <c r="Y22" s="22"/>
    </row>
    <row r="23" spans="1:25" x14ac:dyDescent="0.25">
      <c r="A23" s="3" t="s">
        <v>14</v>
      </c>
      <c r="X23" s="22"/>
      <c r="Y23" s="22"/>
    </row>
    <row r="24" spans="1:25" x14ac:dyDescent="0.25">
      <c r="A24" s="78" t="s">
        <v>370</v>
      </c>
      <c r="B24" s="46"/>
      <c r="C24" s="20"/>
      <c r="D24" s="6">
        <f>B24+C24</f>
        <v>0</v>
      </c>
      <c r="E24" s="75"/>
      <c r="F24" s="75"/>
      <c r="G24" s="6">
        <f>E24+F24</f>
        <v>0</v>
      </c>
      <c r="H24" s="75"/>
      <c r="I24" s="75"/>
      <c r="J24" s="6">
        <f>H24+I24</f>
        <v>0</v>
      </c>
      <c r="K24" s="75"/>
      <c r="L24" s="75"/>
      <c r="M24" s="6">
        <f>K24+L24</f>
        <v>0</v>
      </c>
      <c r="N24" s="6">
        <f>D24+G24+J24+M24</f>
        <v>0</v>
      </c>
      <c r="O24" s="75"/>
      <c r="P24" s="75"/>
      <c r="Q24" s="6">
        <f>O24+P24</f>
        <v>0</v>
      </c>
      <c r="R24" s="75"/>
      <c r="S24" s="75"/>
      <c r="T24" s="6">
        <f>R24+S24</f>
        <v>0</v>
      </c>
      <c r="U24" s="75"/>
      <c r="V24" s="75"/>
      <c r="W24" s="6">
        <f>U24+V24</f>
        <v>0</v>
      </c>
      <c r="X24" s="75"/>
      <c r="Y24" s="22">
        <f t="shared" ref="Y24:Y44" si="5">N24+Q24+T24+W24</f>
        <v>0</v>
      </c>
    </row>
    <row r="25" spans="1:25" x14ac:dyDescent="0.25">
      <c r="A25" s="77" t="s">
        <v>369</v>
      </c>
      <c r="B25" s="46"/>
      <c r="C25" s="20"/>
      <c r="D25" s="6">
        <f t="shared" ref="D25:D40" si="6">B25+C25</f>
        <v>0</v>
      </c>
      <c r="E25" s="75"/>
      <c r="F25" s="75"/>
      <c r="G25" s="6">
        <f t="shared" ref="G25:G40" si="7">E25+F25</f>
        <v>0</v>
      </c>
      <c r="H25" s="75"/>
      <c r="I25" s="75"/>
      <c r="J25" s="6">
        <f t="shared" ref="J25:J42" si="8">H25+I25</f>
        <v>0</v>
      </c>
      <c r="K25" s="75"/>
      <c r="L25" s="75"/>
      <c r="M25" s="6">
        <f t="shared" ref="M25:M42" si="9">K25+L25</f>
        <v>0</v>
      </c>
      <c r="N25" s="6">
        <f t="shared" ref="N25:N42" si="10">D25+G25+J25+M25</f>
        <v>0</v>
      </c>
      <c r="O25" s="75"/>
      <c r="P25" s="75"/>
      <c r="Q25" s="6">
        <f t="shared" ref="Q25:Q42" si="11">O25+P25</f>
        <v>0</v>
      </c>
      <c r="R25" s="75"/>
      <c r="S25" s="75"/>
      <c r="T25" s="6">
        <f t="shared" ref="T25:T42" si="12">R25+S25</f>
        <v>0</v>
      </c>
      <c r="U25" s="75"/>
      <c r="V25" s="75"/>
      <c r="W25" s="6">
        <f t="shared" ref="W25:W42" si="13">U25+V25</f>
        <v>0</v>
      </c>
      <c r="X25" s="75"/>
      <c r="Y25" s="22">
        <f t="shared" si="5"/>
        <v>0</v>
      </c>
    </row>
    <row r="26" spans="1:25" x14ac:dyDescent="0.25">
      <c r="A26" s="77" t="s">
        <v>31</v>
      </c>
      <c r="B26" s="46"/>
      <c r="C26" s="20"/>
      <c r="D26" s="6">
        <f t="shared" si="6"/>
        <v>0</v>
      </c>
      <c r="E26" s="75"/>
      <c r="F26" s="75"/>
      <c r="G26" s="6">
        <f t="shared" si="7"/>
        <v>0</v>
      </c>
      <c r="H26" s="75"/>
      <c r="I26" s="75"/>
      <c r="J26" s="6">
        <f t="shared" si="8"/>
        <v>0</v>
      </c>
      <c r="K26" s="75"/>
      <c r="L26" s="75"/>
      <c r="M26" s="6">
        <f t="shared" si="9"/>
        <v>0</v>
      </c>
      <c r="N26" s="6">
        <f t="shared" si="10"/>
        <v>0</v>
      </c>
      <c r="O26" s="75"/>
      <c r="P26" s="75"/>
      <c r="Q26" s="6">
        <f t="shared" si="11"/>
        <v>0</v>
      </c>
      <c r="R26" s="75"/>
      <c r="S26" s="75"/>
      <c r="T26" s="6">
        <f t="shared" si="12"/>
        <v>0</v>
      </c>
      <c r="U26" s="75"/>
      <c r="V26" s="75"/>
      <c r="W26" s="6">
        <f t="shared" si="13"/>
        <v>0</v>
      </c>
      <c r="X26" s="75"/>
      <c r="Y26" s="22">
        <f t="shared" si="5"/>
        <v>0</v>
      </c>
    </row>
    <row r="27" spans="1:25" x14ac:dyDescent="0.25">
      <c r="A27" s="77" t="s">
        <v>333</v>
      </c>
      <c r="B27" s="46"/>
      <c r="C27" s="20"/>
      <c r="D27" s="6">
        <f t="shared" si="6"/>
        <v>0</v>
      </c>
      <c r="E27" s="75"/>
      <c r="F27" s="75"/>
      <c r="G27" s="6">
        <f t="shared" si="7"/>
        <v>0</v>
      </c>
      <c r="H27" s="75"/>
      <c r="I27" s="75"/>
      <c r="J27" s="6">
        <f t="shared" si="8"/>
        <v>0</v>
      </c>
      <c r="K27" s="75"/>
      <c r="L27" s="75"/>
      <c r="M27" s="6">
        <f t="shared" si="9"/>
        <v>0</v>
      </c>
      <c r="N27" s="6">
        <f t="shared" si="10"/>
        <v>0</v>
      </c>
      <c r="O27" s="75"/>
      <c r="P27" s="75"/>
      <c r="Q27" s="6">
        <f t="shared" si="11"/>
        <v>0</v>
      </c>
      <c r="R27" s="75"/>
      <c r="S27" s="75"/>
      <c r="T27" s="6">
        <f t="shared" si="12"/>
        <v>0</v>
      </c>
      <c r="U27" s="75"/>
      <c r="V27" s="75"/>
      <c r="W27" s="6">
        <f t="shared" si="13"/>
        <v>0</v>
      </c>
      <c r="X27" s="75"/>
      <c r="Y27" s="22">
        <f t="shared" si="5"/>
        <v>0</v>
      </c>
    </row>
    <row r="28" spans="1:25" x14ac:dyDescent="0.25">
      <c r="A28" s="77" t="s">
        <v>334</v>
      </c>
      <c r="B28" s="46"/>
      <c r="C28" s="20"/>
      <c r="D28" s="6">
        <f t="shared" si="6"/>
        <v>0</v>
      </c>
      <c r="E28" s="75"/>
      <c r="F28" s="75"/>
      <c r="G28" s="6">
        <f t="shared" si="7"/>
        <v>0</v>
      </c>
      <c r="H28" s="75"/>
      <c r="I28" s="75"/>
      <c r="J28" s="6">
        <f t="shared" si="8"/>
        <v>0</v>
      </c>
      <c r="K28" s="75"/>
      <c r="L28" s="75"/>
      <c r="M28" s="6">
        <f t="shared" si="9"/>
        <v>0</v>
      </c>
      <c r="N28" s="6">
        <f t="shared" si="10"/>
        <v>0</v>
      </c>
      <c r="O28" s="75"/>
      <c r="P28" s="75"/>
      <c r="Q28" s="6">
        <f t="shared" si="11"/>
        <v>0</v>
      </c>
      <c r="R28" s="75"/>
      <c r="S28" s="75"/>
      <c r="T28" s="6">
        <f t="shared" si="12"/>
        <v>0</v>
      </c>
      <c r="U28" s="75"/>
      <c r="V28" s="75"/>
      <c r="W28" s="6">
        <f t="shared" si="13"/>
        <v>0</v>
      </c>
      <c r="X28" s="75"/>
      <c r="Y28" s="22">
        <f t="shared" si="5"/>
        <v>0</v>
      </c>
    </row>
    <row r="29" spans="1:25" x14ac:dyDescent="0.25">
      <c r="A29" s="77" t="s">
        <v>335</v>
      </c>
      <c r="B29" s="46"/>
      <c r="C29" s="20"/>
      <c r="D29" s="6">
        <f t="shared" si="6"/>
        <v>0</v>
      </c>
      <c r="E29" s="75"/>
      <c r="F29" s="75"/>
      <c r="G29" s="6">
        <f t="shared" si="7"/>
        <v>0</v>
      </c>
      <c r="H29" s="75"/>
      <c r="I29" s="75"/>
      <c r="J29" s="6">
        <f t="shared" si="8"/>
        <v>0</v>
      </c>
      <c r="K29" s="75"/>
      <c r="L29" s="75"/>
      <c r="M29" s="6">
        <f t="shared" si="9"/>
        <v>0</v>
      </c>
      <c r="N29" s="6">
        <f t="shared" si="10"/>
        <v>0</v>
      </c>
      <c r="O29" s="75"/>
      <c r="P29" s="75"/>
      <c r="Q29" s="6">
        <f t="shared" si="11"/>
        <v>0</v>
      </c>
      <c r="R29" s="75"/>
      <c r="S29" s="75"/>
      <c r="T29" s="6">
        <f t="shared" si="12"/>
        <v>0</v>
      </c>
      <c r="U29" s="75"/>
      <c r="V29" s="75"/>
      <c r="W29" s="6">
        <f t="shared" si="13"/>
        <v>0</v>
      </c>
      <c r="X29" s="75"/>
      <c r="Y29" s="22">
        <f t="shared" si="5"/>
        <v>0</v>
      </c>
    </row>
    <row r="30" spans="1:25" x14ac:dyDescent="0.25">
      <c r="A30" s="77" t="s">
        <v>336</v>
      </c>
      <c r="B30" s="46"/>
      <c r="C30" s="20"/>
      <c r="D30" s="6">
        <f t="shared" si="6"/>
        <v>0</v>
      </c>
      <c r="E30" s="75"/>
      <c r="F30" s="75"/>
      <c r="G30" s="6">
        <f t="shared" si="7"/>
        <v>0</v>
      </c>
      <c r="H30" s="75"/>
      <c r="I30" s="75"/>
      <c r="J30" s="6">
        <f t="shared" si="8"/>
        <v>0</v>
      </c>
      <c r="K30" s="75"/>
      <c r="L30" s="75"/>
      <c r="M30" s="6">
        <f t="shared" si="9"/>
        <v>0</v>
      </c>
      <c r="N30" s="6">
        <f t="shared" si="10"/>
        <v>0</v>
      </c>
      <c r="O30" s="75"/>
      <c r="P30" s="75"/>
      <c r="Q30" s="6">
        <f t="shared" si="11"/>
        <v>0</v>
      </c>
      <c r="R30" s="75"/>
      <c r="S30" s="75"/>
      <c r="T30" s="6">
        <f t="shared" si="12"/>
        <v>0</v>
      </c>
      <c r="U30" s="75"/>
      <c r="V30" s="75"/>
      <c r="W30" s="6">
        <f t="shared" si="13"/>
        <v>0</v>
      </c>
      <c r="X30" s="75"/>
      <c r="Y30" s="22">
        <f t="shared" si="5"/>
        <v>0</v>
      </c>
    </row>
    <row r="31" spans="1:25" x14ac:dyDescent="0.25">
      <c r="A31" s="77" t="s">
        <v>337</v>
      </c>
      <c r="B31" s="46"/>
      <c r="C31" s="20"/>
      <c r="D31" s="6">
        <f t="shared" si="6"/>
        <v>0</v>
      </c>
      <c r="E31" s="75"/>
      <c r="F31" s="75"/>
      <c r="G31" s="6">
        <f t="shared" si="7"/>
        <v>0</v>
      </c>
      <c r="H31" s="75"/>
      <c r="I31" s="75"/>
      <c r="J31" s="6">
        <f t="shared" si="8"/>
        <v>0</v>
      </c>
      <c r="K31" s="75"/>
      <c r="L31" s="75"/>
      <c r="M31" s="6">
        <f t="shared" si="9"/>
        <v>0</v>
      </c>
      <c r="N31" s="6">
        <f t="shared" si="10"/>
        <v>0</v>
      </c>
      <c r="O31" s="75"/>
      <c r="P31" s="75"/>
      <c r="Q31" s="6">
        <f t="shared" si="11"/>
        <v>0</v>
      </c>
      <c r="R31" s="75"/>
      <c r="S31" s="75"/>
      <c r="T31" s="6">
        <f t="shared" si="12"/>
        <v>0</v>
      </c>
      <c r="U31" s="75"/>
      <c r="V31" s="75"/>
      <c r="W31" s="6">
        <f t="shared" si="13"/>
        <v>0</v>
      </c>
      <c r="X31" s="75"/>
      <c r="Y31" s="22">
        <f t="shared" si="5"/>
        <v>0</v>
      </c>
    </row>
    <row r="32" spans="1:25" x14ac:dyDescent="0.25">
      <c r="A32" s="77" t="s">
        <v>362</v>
      </c>
      <c r="B32" s="46"/>
      <c r="C32" s="20"/>
      <c r="D32" s="6">
        <f t="shared" si="6"/>
        <v>0</v>
      </c>
      <c r="E32" s="75"/>
      <c r="F32" s="75"/>
      <c r="G32" s="6">
        <f t="shared" si="7"/>
        <v>0</v>
      </c>
      <c r="H32" s="75"/>
      <c r="I32" s="75"/>
      <c r="J32" s="6">
        <f t="shared" si="8"/>
        <v>0</v>
      </c>
      <c r="K32" s="75"/>
      <c r="L32" s="75"/>
      <c r="M32" s="6">
        <f t="shared" si="9"/>
        <v>0</v>
      </c>
      <c r="N32" s="6">
        <f t="shared" si="10"/>
        <v>0</v>
      </c>
      <c r="O32" s="75"/>
      <c r="P32" s="75"/>
      <c r="Q32" s="6">
        <f t="shared" si="11"/>
        <v>0</v>
      </c>
      <c r="R32" s="75"/>
      <c r="S32" s="75"/>
      <c r="T32" s="6">
        <f t="shared" si="12"/>
        <v>0</v>
      </c>
      <c r="U32" s="75"/>
      <c r="V32" s="75"/>
      <c r="W32" s="6">
        <f t="shared" si="13"/>
        <v>0</v>
      </c>
      <c r="X32" s="75"/>
      <c r="Y32" s="22">
        <f t="shared" si="5"/>
        <v>0</v>
      </c>
    </row>
    <row r="33" spans="1:25" x14ac:dyDescent="0.25">
      <c r="A33" s="77" t="s">
        <v>339</v>
      </c>
      <c r="B33" s="46"/>
      <c r="C33" s="20"/>
      <c r="D33" s="6">
        <f t="shared" si="6"/>
        <v>0</v>
      </c>
      <c r="E33" s="75"/>
      <c r="F33" s="75"/>
      <c r="G33" s="6">
        <f t="shared" si="7"/>
        <v>0</v>
      </c>
      <c r="H33" s="75"/>
      <c r="I33" s="75"/>
      <c r="J33" s="6">
        <f t="shared" si="8"/>
        <v>0</v>
      </c>
      <c r="K33" s="75"/>
      <c r="L33" s="75"/>
      <c r="M33" s="6">
        <f t="shared" si="9"/>
        <v>0</v>
      </c>
      <c r="N33" s="6">
        <f t="shared" si="10"/>
        <v>0</v>
      </c>
      <c r="O33" s="75"/>
      <c r="P33" s="75"/>
      <c r="Q33" s="6">
        <f t="shared" si="11"/>
        <v>0</v>
      </c>
      <c r="R33" s="75"/>
      <c r="S33" s="75"/>
      <c r="T33" s="6">
        <f t="shared" si="12"/>
        <v>0</v>
      </c>
      <c r="U33" s="75"/>
      <c r="V33" s="75"/>
      <c r="W33" s="6">
        <f t="shared" si="13"/>
        <v>0</v>
      </c>
      <c r="X33" s="75"/>
      <c r="Y33" s="22">
        <f t="shared" si="5"/>
        <v>0</v>
      </c>
    </row>
    <row r="34" spans="1:25" x14ac:dyDescent="0.25">
      <c r="A34" s="77" t="s">
        <v>363</v>
      </c>
      <c r="B34" s="46"/>
      <c r="C34" s="20"/>
      <c r="D34" s="6">
        <f t="shared" si="6"/>
        <v>0</v>
      </c>
      <c r="E34" s="75"/>
      <c r="F34" s="75"/>
      <c r="G34" s="6">
        <f t="shared" si="7"/>
        <v>0</v>
      </c>
      <c r="H34" s="75"/>
      <c r="I34" s="75"/>
      <c r="J34" s="6">
        <f t="shared" si="8"/>
        <v>0</v>
      </c>
      <c r="K34" s="75"/>
      <c r="L34" s="75"/>
      <c r="M34" s="6">
        <f t="shared" si="9"/>
        <v>0</v>
      </c>
      <c r="N34" s="6">
        <f t="shared" si="10"/>
        <v>0</v>
      </c>
      <c r="O34" s="75"/>
      <c r="P34" s="75"/>
      <c r="Q34" s="6">
        <f t="shared" si="11"/>
        <v>0</v>
      </c>
      <c r="R34" s="75"/>
      <c r="S34" s="75"/>
      <c r="T34" s="6">
        <f t="shared" si="12"/>
        <v>0</v>
      </c>
      <c r="U34" s="75"/>
      <c r="V34" s="75"/>
      <c r="W34" s="6">
        <f t="shared" si="13"/>
        <v>0</v>
      </c>
      <c r="X34" s="75"/>
      <c r="Y34" s="22">
        <f t="shared" si="5"/>
        <v>0</v>
      </c>
    </row>
    <row r="35" spans="1:25" x14ac:dyDescent="0.25">
      <c r="A35" s="77" t="s">
        <v>364</v>
      </c>
      <c r="B35" s="46"/>
      <c r="C35" s="20"/>
      <c r="D35" s="6">
        <f t="shared" si="6"/>
        <v>0</v>
      </c>
      <c r="E35" s="75"/>
      <c r="F35" s="75"/>
      <c r="G35" s="6">
        <f t="shared" si="7"/>
        <v>0</v>
      </c>
      <c r="H35" s="75"/>
      <c r="I35" s="75"/>
      <c r="J35" s="6">
        <f t="shared" si="8"/>
        <v>0</v>
      </c>
      <c r="K35" s="75"/>
      <c r="L35" s="75"/>
      <c r="M35" s="6">
        <f t="shared" si="9"/>
        <v>0</v>
      </c>
      <c r="N35" s="6">
        <f t="shared" si="10"/>
        <v>0</v>
      </c>
      <c r="O35" s="75"/>
      <c r="P35" s="75"/>
      <c r="Q35" s="6">
        <f t="shared" si="11"/>
        <v>0</v>
      </c>
      <c r="R35" s="75"/>
      <c r="S35" s="75"/>
      <c r="T35" s="6">
        <f t="shared" si="12"/>
        <v>0</v>
      </c>
      <c r="U35" s="75"/>
      <c r="V35" s="75"/>
      <c r="W35" s="6">
        <f t="shared" si="13"/>
        <v>0</v>
      </c>
      <c r="X35" s="75"/>
      <c r="Y35" s="22">
        <f t="shared" si="5"/>
        <v>0</v>
      </c>
    </row>
    <row r="36" spans="1:25" x14ac:dyDescent="0.25">
      <c r="A36" s="78" t="s">
        <v>365</v>
      </c>
      <c r="B36" s="46"/>
      <c r="C36" s="20"/>
      <c r="D36" s="6">
        <f t="shared" si="6"/>
        <v>0</v>
      </c>
      <c r="E36" s="75"/>
      <c r="F36" s="75"/>
      <c r="G36" s="6">
        <f t="shared" si="7"/>
        <v>0</v>
      </c>
      <c r="H36" s="75"/>
      <c r="I36" s="75"/>
      <c r="J36" s="6">
        <f t="shared" si="8"/>
        <v>0</v>
      </c>
      <c r="K36" s="75"/>
      <c r="L36" s="75"/>
      <c r="M36" s="6">
        <f t="shared" si="9"/>
        <v>0</v>
      </c>
      <c r="N36" s="6">
        <f t="shared" si="10"/>
        <v>0</v>
      </c>
      <c r="O36" s="75"/>
      <c r="P36" s="75"/>
      <c r="Q36" s="6">
        <f t="shared" si="11"/>
        <v>0</v>
      </c>
      <c r="R36" s="75"/>
      <c r="S36" s="75"/>
      <c r="T36" s="6">
        <f t="shared" si="12"/>
        <v>0</v>
      </c>
      <c r="U36" s="75"/>
      <c r="V36" s="75"/>
      <c r="W36" s="6">
        <f t="shared" si="13"/>
        <v>0</v>
      </c>
      <c r="X36" s="75"/>
      <c r="Y36" s="22">
        <f t="shared" si="5"/>
        <v>0</v>
      </c>
    </row>
    <row r="37" spans="1:25" x14ac:dyDescent="0.25">
      <c r="A37" s="77" t="s">
        <v>371</v>
      </c>
      <c r="B37" s="46"/>
      <c r="C37" s="20"/>
      <c r="D37" s="6">
        <f t="shared" si="6"/>
        <v>0</v>
      </c>
      <c r="E37" s="75"/>
      <c r="F37" s="75"/>
      <c r="G37" s="6">
        <f t="shared" si="7"/>
        <v>0</v>
      </c>
      <c r="H37" s="75"/>
      <c r="I37" s="75"/>
      <c r="J37" s="6">
        <f t="shared" si="8"/>
        <v>0</v>
      </c>
      <c r="K37" s="75"/>
      <c r="L37" s="75"/>
      <c r="M37" s="6">
        <f t="shared" si="9"/>
        <v>0</v>
      </c>
      <c r="N37" s="6">
        <f t="shared" si="10"/>
        <v>0</v>
      </c>
      <c r="O37" s="75"/>
      <c r="P37" s="75"/>
      <c r="Q37" s="6">
        <f t="shared" si="11"/>
        <v>0</v>
      </c>
      <c r="R37" s="75"/>
      <c r="S37" s="75"/>
      <c r="T37" s="6">
        <f t="shared" si="12"/>
        <v>0</v>
      </c>
      <c r="U37" s="75"/>
      <c r="V37" s="75"/>
      <c r="W37" s="6">
        <f t="shared" si="13"/>
        <v>0</v>
      </c>
      <c r="X37" s="75"/>
      <c r="Y37" s="22">
        <f t="shared" si="5"/>
        <v>0</v>
      </c>
    </row>
    <row r="38" spans="1:25" x14ac:dyDescent="0.25">
      <c r="A38" s="77" t="s">
        <v>366</v>
      </c>
      <c r="B38" s="46"/>
      <c r="C38" s="20"/>
      <c r="D38" s="6">
        <f t="shared" si="6"/>
        <v>0</v>
      </c>
      <c r="E38" s="75"/>
      <c r="F38" s="75"/>
      <c r="G38" s="6">
        <f t="shared" si="7"/>
        <v>0</v>
      </c>
      <c r="H38" s="75"/>
      <c r="I38" s="75"/>
      <c r="J38" s="6">
        <f t="shared" si="8"/>
        <v>0</v>
      </c>
      <c r="K38" s="75"/>
      <c r="L38" s="75"/>
      <c r="M38" s="6">
        <f t="shared" si="9"/>
        <v>0</v>
      </c>
      <c r="N38" s="6">
        <f t="shared" si="10"/>
        <v>0</v>
      </c>
      <c r="O38" s="75"/>
      <c r="P38" s="75"/>
      <c r="Q38" s="6">
        <f t="shared" si="11"/>
        <v>0</v>
      </c>
      <c r="R38" s="75"/>
      <c r="S38" s="75"/>
      <c r="T38" s="6">
        <f t="shared" si="12"/>
        <v>0</v>
      </c>
      <c r="U38" s="75"/>
      <c r="V38" s="75"/>
      <c r="W38" s="6">
        <f t="shared" si="13"/>
        <v>0</v>
      </c>
      <c r="X38" s="75"/>
      <c r="Y38" s="22">
        <f t="shared" si="5"/>
        <v>0</v>
      </c>
    </row>
    <row r="39" spans="1:25" x14ac:dyDescent="0.25">
      <c r="A39" s="77" t="s">
        <v>367</v>
      </c>
      <c r="B39" s="46"/>
      <c r="C39" s="20"/>
      <c r="D39" s="6">
        <f t="shared" si="6"/>
        <v>0</v>
      </c>
      <c r="E39" s="75"/>
      <c r="F39" s="75"/>
      <c r="G39" s="6">
        <f t="shared" si="7"/>
        <v>0</v>
      </c>
      <c r="H39" s="75"/>
      <c r="I39" s="75"/>
      <c r="J39" s="6">
        <f t="shared" si="8"/>
        <v>0</v>
      </c>
      <c r="K39" s="75"/>
      <c r="L39" s="75"/>
      <c r="M39" s="6">
        <f t="shared" si="9"/>
        <v>0</v>
      </c>
      <c r="N39" s="6">
        <f t="shared" si="10"/>
        <v>0</v>
      </c>
      <c r="O39" s="75"/>
      <c r="P39" s="75"/>
      <c r="Q39" s="6">
        <f t="shared" si="11"/>
        <v>0</v>
      </c>
      <c r="R39" s="75"/>
      <c r="S39" s="75"/>
      <c r="T39" s="6">
        <f t="shared" si="12"/>
        <v>0</v>
      </c>
      <c r="U39" s="75"/>
      <c r="V39" s="75"/>
      <c r="W39" s="6">
        <f t="shared" si="13"/>
        <v>0</v>
      </c>
      <c r="X39" s="75"/>
      <c r="Y39" s="22">
        <f t="shared" si="5"/>
        <v>0</v>
      </c>
    </row>
    <row r="40" spans="1:25" x14ac:dyDescent="0.25">
      <c r="A40" s="77" t="s">
        <v>345</v>
      </c>
      <c r="B40" s="46"/>
      <c r="C40" s="20"/>
      <c r="D40" s="6">
        <f t="shared" si="6"/>
        <v>0</v>
      </c>
      <c r="E40" s="20">
        <v>-0.12</v>
      </c>
      <c r="F40" s="20"/>
      <c r="G40" s="6">
        <f t="shared" si="7"/>
        <v>-0.12</v>
      </c>
      <c r="H40" s="46"/>
      <c r="I40" s="20"/>
      <c r="J40" s="6">
        <f t="shared" si="8"/>
        <v>0</v>
      </c>
      <c r="K40" s="20"/>
      <c r="L40" s="20"/>
      <c r="M40" s="6">
        <f t="shared" si="9"/>
        <v>0</v>
      </c>
      <c r="N40" s="6">
        <f t="shared" si="10"/>
        <v>-0.12</v>
      </c>
      <c r="O40" s="20"/>
      <c r="P40" s="20"/>
      <c r="Q40" s="6">
        <f t="shared" si="11"/>
        <v>0</v>
      </c>
      <c r="R40" s="20"/>
      <c r="S40" s="20"/>
      <c r="T40" s="6">
        <f t="shared" si="12"/>
        <v>0</v>
      </c>
      <c r="U40" s="20"/>
      <c r="V40" s="20"/>
      <c r="W40" s="6">
        <f t="shared" si="13"/>
        <v>0</v>
      </c>
      <c r="X40" s="20"/>
      <c r="Y40" s="22">
        <f t="shared" si="5"/>
        <v>-0.12</v>
      </c>
    </row>
    <row r="41" spans="1:25" x14ac:dyDescent="0.25">
      <c r="A41" s="78" t="s">
        <v>372</v>
      </c>
      <c r="B41" s="46"/>
      <c r="C41" s="20"/>
      <c r="D41" s="6">
        <f>B41+C41</f>
        <v>0</v>
      </c>
      <c r="E41" s="75"/>
      <c r="F41" s="75"/>
      <c r="G41" s="6">
        <f>E41+F41</f>
        <v>0</v>
      </c>
      <c r="H41" s="75"/>
      <c r="I41" s="75"/>
      <c r="J41" s="6">
        <f t="shared" si="8"/>
        <v>0</v>
      </c>
      <c r="K41" s="75"/>
      <c r="L41" s="75"/>
      <c r="M41" s="6">
        <f t="shared" si="9"/>
        <v>0</v>
      </c>
      <c r="N41" s="6">
        <f t="shared" si="10"/>
        <v>0</v>
      </c>
      <c r="O41" s="75"/>
      <c r="P41" s="75"/>
      <c r="Q41" s="6">
        <f t="shared" si="11"/>
        <v>0</v>
      </c>
      <c r="R41" s="75"/>
      <c r="S41" s="75"/>
      <c r="T41" s="6">
        <f t="shared" si="12"/>
        <v>0</v>
      </c>
      <c r="U41" s="75"/>
      <c r="V41" s="75"/>
      <c r="W41" s="6">
        <f t="shared" si="13"/>
        <v>0</v>
      </c>
      <c r="X41" s="75"/>
      <c r="Y41" s="22">
        <f t="shared" si="5"/>
        <v>0</v>
      </c>
    </row>
    <row r="42" spans="1:25" x14ac:dyDescent="0.25">
      <c r="A42" s="2" t="s">
        <v>18</v>
      </c>
      <c r="B42" s="43">
        <f>SUM(B24:B41)</f>
        <v>0</v>
      </c>
      <c r="C42" s="6">
        <f>SUM(C24:C41)</f>
        <v>0</v>
      </c>
      <c r="D42" s="6">
        <f>SUM(D24:D41)</f>
        <v>0</v>
      </c>
      <c r="E42" s="6">
        <f t="shared" ref="E42:S42" si="14">SUM(E24:E41)</f>
        <v>-0.12</v>
      </c>
      <c r="F42" s="6">
        <f>SUM(F24:F41)</f>
        <v>0</v>
      </c>
      <c r="G42" s="6">
        <f>SUM(G24:G41)</f>
        <v>-0.12</v>
      </c>
      <c r="H42" s="43">
        <f t="shared" si="14"/>
        <v>0</v>
      </c>
      <c r="I42" s="6">
        <f t="shared" si="14"/>
        <v>0</v>
      </c>
      <c r="J42" s="6">
        <f t="shared" si="8"/>
        <v>0</v>
      </c>
      <c r="K42" s="6">
        <f t="shared" si="14"/>
        <v>0</v>
      </c>
      <c r="L42" s="6">
        <f t="shared" si="14"/>
        <v>0</v>
      </c>
      <c r="M42" s="6">
        <f t="shared" si="9"/>
        <v>0</v>
      </c>
      <c r="N42" s="6">
        <f t="shared" si="10"/>
        <v>-0.12</v>
      </c>
      <c r="O42" s="6">
        <f t="shared" si="14"/>
        <v>0</v>
      </c>
      <c r="P42" s="6">
        <f t="shared" si="14"/>
        <v>0</v>
      </c>
      <c r="Q42" s="6">
        <f t="shared" si="11"/>
        <v>0</v>
      </c>
      <c r="R42" s="6">
        <f t="shared" si="14"/>
        <v>0</v>
      </c>
      <c r="S42" s="6">
        <f t="shared" si="14"/>
        <v>0</v>
      </c>
      <c r="T42" s="6">
        <f t="shared" si="12"/>
        <v>0</v>
      </c>
      <c r="U42" s="6">
        <f>SUM(U24:U41)</f>
        <v>0</v>
      </c>
      <c r="V42" s="6">
        <f>SUM(V24:V41)</f>
        <v>0</v>
      </c>
      <c r="W42" s="6">
        <f t="shared" si="13"/>
        <v>0</v>
      </c>
      <c r="X42" s="22">
        <f>SUM(X24:X41)</f>
        <v>0</v>
      </c>
      <c r="Y42" s="22">
        <f t="shared" si="5"/>
        <v>-0.12</v>
      </c>
    </row>
    <row r="43" spans="1:25" x14ac:dyDescent="0.25">
      <c r="X43" s="22"/>
      <c r="Y43" s="22">
        <f t="shared" si="5"/>
        <v>0</v>
      </c>
    </row>
    <row r="44" spans="1:25" x14ac:dyDescent="0.25">
      <c r="A44" s="2" t="s">
        <v>19</v>
      </c>
      <c r="B44" s="43">
        <f t="shared" ref="B44:M44" si="15">B21+B42</f>
        <v>0</v>
      </c>
      <c r="C44" s="6">
        <f t="shared" si="15"/>
        <v>0</v>
      </c>
      <c r="D44" s="6">
        <f t="shared" si="15"/>
        <v>0</v>
      </c>
      <c r="E44" s="6">
        <f t="shared" si="15"/>
        <v>110104.4</v>
      </c>
      <c r="F44" s="6">
        <f t="shared" si="15"/>
        <v>0</v>
      </c>
      <c r="G44" s="6">
        <f t="shared" si="15"/>
        <v>110104.4</v>
      </c>
      <c r="H44" s="43">
        <f t="shared" si="15"/>
        <v>0</v>
      </c>
      <c r="I44" s="6">
        <f t="shared" si="15"/>
        <v>0</v>
      </c>
      <c r="J44" s="6">
        <f t="shared" si="15"/>
        <v>0</v>
      </c>
      <c r="K44" s="6">
        <f t="shared" si="15"/>
        <v>0</v>
      </c>
      <c r="L44" s="6">
        <f t="shared" si="15"/>
        <v>0</v>
      </c>
      <c r="M44" s="6">
        <f t="shared" si="15"/>
        <v>0</v>
      </c>
      <c r="N44" s="6">
        <f>D44+G44+J44+M44</f>
        <v>110104.4</v>
      </c>
      <c r="O44" s="6">
        <f t="shared" ref="O44:X44" si="16">O21+O42</f>
        <v>0</v>
      </c>
      <c r="P44" s="6">
        <f t="shared" si="16"/>
        <v>0</v>
      </c>
      <c r="Q44" s="6">
        <f t="shared" si="16"/>
        <v>0</v>
      </c>
      <c r="R44" s="6">
        <f t="shared" si="16"/>
        <v>0</v>
      </c>
      <c r="S44" s="6">
        <f t="shared" si="16"/>
        <v>0</v>
      </c>
      <c r="T44" s="6">
        <f t="shared" si="16"/>
        <v>0</v>
      </c>
      <c r="U44" s="6">
        <f t="shared" si="16"/>
        <v>0</v>
      </c>
      <c r="V44" s="6">
        <f t="shared" si="16"/>
        <v>0</v>
      </c>
      <c r="W44" s="6">
        <f t="shared" si="16"/>
        <v>0</v>
      </c>
      <c r="X44" s="22">
        <f t="shared" si="16"/>
        <v>0</v>
      </c>
      <c r="Y44" s="22">
        <f t="shared" si="5"/>
        <v>110104.4</v>
      </c>
    </row>
    <row r="45" spans="1:25" x14ac:dyDescent="0.25">
      <c r="B45" s="52" t="str">
        <f>IF(B13=B44,"YES","NO")</f>
        <v>YES</v>
      </c>
      <c r="C45" s="52" t="str">
        <f t="shared" ref="C45:Y45" si="17">IF(C13=C44,"YES","NO")</f>
        <v>YES</v>
      </c>
      <c r="D45" s="52" t="str">
        <f t="shared" si="17"/>
        <v>YES</v>
      </c>
      <c r="E45" s="52" t="str">
        <f t="shared" si="17"/>
        <v>YES</v>
      </c>
      <c r="F45" s="52" t="str">
        <f t="shared" si="17"/>
        <v>YES</v>
      </c>
      <c r="G45" s="52" t="str">
        <f t="shared" si="17"/>
        <v>YES</v>
      </c>
      <c r="H45" s="52" t="str">
        <f t="shared" si="17"/>
        <v>YES</v>
      </c>
      <c r="I45" s="52" t="str">
        <f t="shared" si="17"/>
        <v>YES</v>
      </c>
      <c r="J45" s="52" t="str">
        <f t="shared" si="17"/>
        <v>YES</v>
      </c>
      <c r="K45" s="52" t="str">
        <f t="shared" si="17"/>
        <v>YES</v>
      </c>
      <c r="L45" s="52" t="str">
        <f t="shared" si="17"/>
        <v>YES</v>
      </c>
      <c r="M45" s="52" t="str">
        <f t="shared" si="17"/>
        <v>YES</v>
      </c>
      <c r="N45" s="52" t="str">
        <f t="shared" si="17"/>
        <v>YES</v>
      </c>
      <c r="O45" s="52" t="str">
        <f t="shared" si="17"/>
        <v>YES</v>
      </c>
      <c r="P45" s="52" t="str">
        <f t="shared" si="17"/>
        <v>YES</v>
      </c>
      <c r="Q45" s="52" t="str">
        <f t="shared" si="17"/>
        <v>YES</v>
      </c>
      <c r="R45" s="52" t="str">
        <f t="shared" si="17"/>
        <v>YES</v>
      </c>
      <c r="S45" s="52" t="str">
        <f t="shared" si="17"/>
        <v>YES</v>
      </c>
      <c r="T45" s="52" t="str">
        <f t="shared" si="17"/>
        <v>YES</v>
      </c>
      <c r="U45" s="52" t="str">
        <f t="shared" si="17"/>
        <v>YES</v>
      </c>
      <c r="V45" s="52" t="str">
        <f t="shared" si="17"/>
        <v>YES</v>
      </c>
      <c r="W45" s="52" t="str">
        <f t="shared" si="17"/>
        <v>YES</v>
      </c>
      <c r="X45" s="52" t="str">
        <f t="shared" si="17"/>
        <v>YES</v>
      </c>
      <c r="Y45" s="52" t="str">
        <f t="shared" si="17"/>
        <v>YES</v>
      </c>
    </row>
    <row r="46" spans="1:25" x14ac:dyDescent="0.25">
      <c r="A46" s="3" t="s">
        <v>20</v>
      </c>
      <c r="X46" s="22"/>
      <c r="Y46" s="22"/>
    </row>
    <row r="47" spans="1:25" x14ac:dyDescent="0.25">
      <c r="A47" s="4" t="s">
        <v>21</v>
      </c>
      <c r="B47" s="46"/>
      <c r="C47" s="20"/>
      <c r="D47" s="6">
        <f t="shared" ref="D47:D52" si="18">B47+C47</f>
        <v>0</v>
      </c>
      <c r="E47" s="20">
        <v>1325753.23</v>
      </c>
      <c r="F47" s="20"/>
      <c r="G47" s="6">
        <f>E47+F47</f>
        <v>1325753.23</v>
      </c>
      <c r="H47" s="46"/>
      <c r="I47" s="20"/>
      <c r="J47" s="6">
        <f t="shared" ref="J47:J52" si="19">H47+I47</f>
        <v>0</v>
      </c>
      <c r="K47" s="20"/>
      <c r="L47" s="20"/>
      <c r="M47" s="6">
        <f t="shared" ref="M47:M52" si="20">K47+L47</f>
        <v>0</v>
      </c>
      <c r="N47" s="6">
        <f t="shared" ref="N47:N52" si="21">D47+G47+J47+M47</f>
        <v>1325753.23</v>
      </c>
      <c r="O47" s="20"/>
      <c r="P47" s="20"/>
      <c r="Q47" s="6">
        <f>O47+P47</f>
        <v>0</v>
      </c>
      <c r="R47" s="20"/>
      <c r="S47" s="20"/>
      <c r="T47" s="6">
        <f>R47+S47</f>
        <v>0</v>
      </c>
      <c r="U47" s="20"/>
      <c r="V47" s="20"/>
      <c r="W47" s="6">
        <f>U47+V47</f>
        <v>0</v>
      </c>
      <c r="X47" s="20"/>
      <c r="Y47" s="22">
        <f t="shared" ref="Y47:Y52" si="22">N47+Q47+T47+W47</f>
        <v>1325753.23</v>
      </c>
    </row>
    <row r="48" spans="1:25" x14ac:dyDescent="0.25">
      <c r="A48" s="4" t="s">
        <v>22</v>
      </c>
      <c r="B48" s="46"/>
      <c r="C48" s="20"/>
      <c r="D48" s="6">
        <f t="shared" si="18"/>
        <v>0</v>
      </c>
      <c r="E48" s="20"/>
      <c r="F48" s="20"/>
      <c r="G48" s="6">
        <f>E48+F48</f>
        <v>0</v>
      </c>
      <c r="H48" s="46"/>
      <c r="I48" s="20"/>
      <c r="J48" s="6">
        <f t="shared" si="19"/>
        <v>0</v>
      </c>
      <c r="K48" s="20"/>
      <c r="L48" s="20"/>
      <c r="M48" s="6">
        <f t="shared" si="20"/>
        <v>0</v>
      </c>
      <c r="N48" s="6">
        <f t="shared" si="21"/>
        <v>0</v>
      </c>
      <c r="O48" s="20"/>
      <c r="P48" s="20"/>
      <c r="Q48" s="6">
        <f>O48+P48</f>
        <v>0</v>
      </c>
      <c r="R48" s="20"/>
      <c r="S48" s="20"/>
      <c r="T48" s="6">
        <f>R48+S48</f>
        <v>0</v>
      </c>
      <c r="U48" s="20"/>
      <c r="V48" s="20"/>
      <c r="W48" s="6">
        <f>U48+V48</f>
        <v>0</v>
      </c>
      <c r="X48" s="20"/>
      <c r="Y48" s="22">
        <f t="shared" si="22"/>
        <v>0</v>
      </c>
    </row>
    <row r="49" spans="1:25" x14ac:dyDescent="0.25">
      <c r="A49" s="4" t="s">
        <v>201</v>
      </c>
      <c r="B49" s="46"/>
      <c r="C49" s="20"/>
      <c r="D49" s="6">
        <f t="shared" si="18"/>
        <v>0</v>
      </c>
      <c r="E49" s="20"/>
      <c r="F49" s="20"/>
      <c r="G49" s="6">
        <f>E49+F49</f>
        <v>0</v>
      </c>
      <c r="H49" s="46"/>
      <c r="I49" s="20"/>
      <c r="J49" s="6">
        <f t="shared" si="19"/>
        <v>0</v>
      </c>
      <c r="K49" s="20"/>
      <c r="L49" s="20"/>
      <c r="M49" s="6">
        <f t="shared" si="20"/>
        <v>0</v>
      </c>
      <c r="N49" s="6">
        <f t="shared" si="21"/>
        <v>0</v>
      </c>
      <c r="O49" s="20"/>
      <c r="P49" s="20"/>
      <c r="Q49" s="6">
        <f>O49+P49</f>
        <v>0</v>
      </c>
      <c r="R49" s="20"/>
      <c r="S49" s="20"/>
      <c r="T49" s="6">
        <f>R49+S49</f>
        <v>0</v>
      </c>
      <c r="U49" s="20"/>
      <c r="V49" s="20"/>
      <c r="W49" s="6">
        <f>U49+V49</f>
        <v>0</v>
      </c>
      <c r="X49" s="20"/>
      <c r="Y49" s="22">
        <f t="shared" si="22"/>
        <v>0</v>
      </c>
    </row>
    <row r="50" spans="1:25" x14ac:dyDescent="0.25">
      <c r="A50" s="4" t="s">
        <v>23</v>
      </c>
      <c r="B50" s="46"/>
      <c r="C50" s="20"/>
      <c r="D50" s="6">
        <f t="shared" si="18"/>
        <v>0</v>
      </c>
      <c r="E50" s="20"/>
      <c r="F50" s="20"/>
      <c r="G50" s="6">
        <f>E50+F50</f>
        <v>0</v>
      </c>
      <c r="H50" s="46"/>
      <c r="I50" s="20"/>
      <c r="J50" s="6">
        <f t="shared" si="19"/>
        <v>0</v>
      </c>
      <c r="K50" s="20"/>
      <c r="L50" s="20"/>
      <c r="M50" s="6">
        <f t="shared" si="20"/>
        <v>0</v>
      </c>
      <c r="N50" s="6">
        <f t="shared" si="21"/>
        <v>0</v>
      </c>
      <c r="O50" s="20"/>
      <c r="P50" s="20"/>
      <c r="Q50" s="6">
        <f>O50+P50</f>
        <v>0</v>
      </c>
      <c r="R50" s="20"/>
      <c r="S50" s="20"/>
      <c r="T50" s="6">
        <f>R50+S50</f>
        <v>0</v>
      </c>
      <c r="U50" s="20"/>
      <c r="V50" s="20"/>
      <c r="W50" s="6">
        <f>U50+V50</f>
        <v>0</v>
      </c>
      <c r="X50" s="20"/>
      <c r="Y50" s="22">
        <f t="shared" si="22"/>
        <v>0</v>
      </c>
    </row>
    <row r="51" spans="1:25" x14ac:dyDescent="0.25">
      <c r="A51" s="4" t="s">
        <v>24</v>
      </c>
      <c r="B51" s="46"/>
      <c r="C51" s="20"/>
      <c r="D51" s="6">
        <f t="shared" si="18"/>
        <v>0</v>
      </c>
      <c r="E51" s="20"/>
      <c r="F51" s="20"/>
      <c r="G51" s="6">
        <f>E51+F51</f>
        <v>0</v>
      </c>
      <c r="H51" s="46"/>
      <c r="I51" s="20"/>
      <c r="J51" s="6">
        <f t="shared" si="19"/>
        <v>0</v>
      </c>
      <c r="K51" s="20"/>
      <c r="L51" s="20"/>
      <c r="M51" s="6">
        <f t="shared" si="20"/>
        <v>0</v>
      </c>
      <c r="N51" s="6">
        <f t="shared" si="21"/>
        <v>0</v>
      </c>
      <c r="O51" s="20"/>
      <c r="P51" s="20"/>
      <c r="Q51" s="6">
        <f>O51+P51</f>
        <v>0</v>
      </c>
      <c r="R51" s="20"/>
      <c r="S51" s="20"/>
      <c r="T51" s="6">
        <f>R51+S51</f>
        <v>0</v>
      </c>
      <c r="U51" s="20"/>
      <c r="V51" s="20"/>
      <c r="W51" s="6">
        <f>U51+V51</f>
        <v>0</v>
      </c>
      <c r="X51" s="20"/>
      <c r="Y51" s="22">
        <f t="shared" si="22"/>
        <v>0</v>
      </c>
    </row>
    <row r="52" spans="1:25" x14ac:dyDescent="0.25">
      <c r="A52" s="2" t="s">
        <v>25</v>
      </c>
      <c r="B52" s="43">
        <f>SUM(B47:B51)</f>
        <v>0</v>
      </c>
      <c r="C52" s="6">
        <f>SUM(C47:C51)</f>
        <v>0</v>
      </c>
      <c r="D52" s="6">
        <f t="shared" si="18"/>
        <v>0</v>
      </c>
      <c r="E52" s="6">
        <f t="shared" ref="E52:U52" si="23">SUM(E47:E51)</f>
        <v>1325753.23</v>
      </c>
      <c r="F52" s="6">
        <f>SUM(F47:F51)</f>
        <v>0</v>
      </c>
      <c r="G52" s="6">
        <f>SUM(G47:G51)</f>
        <v>1325753.23</v>
      </c>
      <c r="H52" s="43">
        <f t="shared" si="23"/>
        <v>0</v>
      </c>
      <c r="I52" s="6">
        <f t="shared" si="23"/>
        <v>0</v>
      </c>
      <c r="J52" s="6">
        <f t="shared" si="19"/>
        <v>0</v>
      </c>
      <c r="K52" s="6">
        <f t="shared" si="23"/>
        <v>0</v>
      </c>
      <c r="L52" s="6">
        <f t="shared" si="23"/>
        <v>0</v>
      </c>
      <c r="M52" s="6">
        <f t="shared" si="20"/>
        <v>0</v>
      </c>
      <c r="N52" s="6">
        <f t="shared" si="21"/>
        <v>1325753.23</v>
      </c>
      <c r="O52" s="6">
        <f t="shared" si="23"/>
        <v>0</v>
      </c>
      <c r="P52" s="6">
        <f>SUM(P47:P51)</f>
        <v>0</v>
      </c>
      <c r="Q52" s="6">
        <f t="shared" si="23"/>
        <v>0</v>
      </c>
      <c r="R52" s="6">
        <f t="shared" si="23"/>
        <v>0</v>
      </c>
      <c r="S52" s="6">
        <f t="shared" si="23"/>
        <v>0</v>
      </c>
      <c r="T52" s="6">
        <f>SUM(T47:T51)</f>
        <v>0</v>
      </c>
      <c r="U52" s="6">
        <f t="shared" si="23"/>
        <v>0</v>
      </c>
      <c r="V52" s="6">
        <f>SUM(V47:V51)</f>
        <v>0</v>
      </c>
      <c r="W52" s="6">
        <f>SUM(W47:W51)</f>
        <v>0</v>
      </c>
      <c r="X52" s="22">
        <f>SUM(X47:X51)</f>
        <v>0</v>
      </c>
      <c r="Y52" s="22">
        <f t="shared" si="22"/>
        <v>1325753.23</v>
      </c>
    </row>
    <row r="53" spans="1:25" x14ac:dyDescent="0.25">
      <c r="X53" s="22"/>
      <c r="Y53" s="22"/>
    </row>
    <row r="54" spans="1:25" x14ac:dyDescent="0.25">
      <c r="A54" s="3" t="s">
        <v>26</v>
      </c>
      <c r="X54" s="22"/>
      <c r="Y54" s="22"/>
    </row>
    <row r="55" spans="1:25" x14ac:dyDescent="0.25">
      <c r="A55" s="4" t="s">
        <v>27</v>
      </c>
      <c r="B55" s="73"/>
      <c r="C55" s="20"/>
      <c r="D55" s="6">
        <f t="shared" ref="D55:D60" si="24">B55+C55</f>
        <v>0</v>
      </c>
      <c r="E55" s="73"/>
      <c r="F55" s="20"/>
      <c r="G55" s="6">
        <f t="shared" ref="G55:G60" si="25">E55+F55</f>
        <v>0</v>
      </c>
      <c r="H55" s="73"/>
      <c r="I55" s="20"/>
      <c r="J55" s="6">
        <f t="shared" ref="J55:J60" si="26">H55+I55</f>
        <v>0</v>
      </c>
      <c r="K55" s="73"/>
      <c r="L55" s="20"/>
      <c r="M55" s="6">
        <f t="shared" ref="M55:M60" si="27">K55+L55</f>
        <v>0</v>
      </c>
      <c r="N55" s="6">
        <f>D55+G55+J55+M55</f>
        <v>0</v>
      </c>
      <c r="O55" s="73"/>
      <c r="P55" s="20"/>
      <c r="Q55" s="6">
        <f t="shared" ref="Q55:Q60" si="28">O55+P55</f>
        <v>0</v>
      </c>
      <c r="R55" s="73"/>
      <c r="S55" s="20"/>
      <c r="T55" s="6">
        <f t="shared" ref="T55:T60" si="29">R55+S55</f>
        <v>0</v>
      </c>
      <c r="U55" s="73"/>
      <c r="V55" s="20"/>
      <c r="W55" s="6">
        <f t="shared" ref="W55:W60" si="30">U55+V55</f>
        <v>0</v>
      </c>
      <c r="X55" s="73"/>
      <c r="Y55" s="22">
        <f t="shared" ref="Y55:Y61" si="31">N55+Q55+T55+W55</f>
        <v>0</v>
      </c>
    </row>
    <row r="56" spans="1:25" x14ac:dyDescent="0.25">
      <c r="A56" s="4" t="s">
        <v>28</v>
      </c>
      <c r="B56" s="73"/>
      <c r="C56" s="20"/>
      <c r="D56" s="6">
        <f t="shared" si="24"/>
        <v>0</v>
      </c>
      <c r="E56" s="73"/>
      <c r="F56" s="20"/>
      <c r="G56" s="6">
        <f t="shared" si="25"/>
        <v>0</v>
      </c>
      <c r="H56" s="73"/>
      <c r="I56" s="20"/>
      <c r="J56" s="6">
        <f t="shared" si="26"/>
        <v>0</v>
      </c>
      <c r="K56" s="73"/>
      <c r="L56" s="20"/>
      <c r="M56" s="6">
        <f t="shared" si="27"/>
        <v>0</v>
      </c>
      <c r="N56" s="6">
        <f t="shared" ref="N56:N61" si="32">D56+G56+J56+M56</f>
        <v>0</v>
      </c>
      <c r="O56" s="73"/>
      <c r="P56" s="20"/>
      <c r="Q56" s="6">
        <f t="shared" si="28"/>
        <v>0</v>
      </c>
      <c r="R56" s="73"/>
      <c r="S56" s="20"/>
      <c r="T56" s="6">
        <f t="shared" si="29"/>
        <v>0</v>
      </c>
      <c r="U56" s="73"/>
      <c r="V56" s="20"/>
      <c r="W56" s="6">
        <f t="shared" si="30"/>
        <v>0</v>
      </c>
      <c r="X56" s="73"/>
      <c r="Y56" s="22">
        <f t="shared" si="31"/>
        <v>0</v>
      </c>
    </row>
    <row r="57" spans="1:25" x14ac:dyDescent="0.25">
      <c r="A57" s="4" t="s">
        <v>29</v>
      </c>
      <c r="B57" s="73"/>
      <c r="C57" s="20"/>
      <c r="D57" s="6">
        <f t="shared" si="24"/>
        <v>0</v>
      </c>
      <c r="E57" s="73"/>
      <c r="F57" s="20"/>
      <c r="G57" s="6">
        <f t="shared" si="25"/>
        <v>0</v>
      </c>
      <c r="H57" s="73"/>
      <c r="I57" s="20"/>
      <c r="J57" s="6">
        <f t="shared" si="26"/>
        <v>0</v>
      </c>
      <c r="K57" s="73"/>
      <c r="L57" s="20"/>
      <c r="M57" s="6">
        <f t="shared" si="27"/>
        <v>0</v>
      </c>
      <c r="N57" s="6">
        <f t="shared" si="32"/>
        <v>0</v>
      </c>
      <c r="O57" s="73"/>
      <c r="P57" s="20"/>
      <c r="Q57" s="6">
        <f t="shared" si="28"/>
        <v>0</v>
      </c>
      <c r="R57" s="73"/>
      <c r="S57" s="20"/>
      <c r="T57" s="6">
        <f t="shared" si="29"/>
        <v>0</v>
      </c>
      <c r="U57" s="73"/>
      <c r="V57" s="20"/>
      <c r="W57" s="6">
        <f t="shared" si="30"/>
        <v>0</v>
      </c>
      <c r="X57" s="73"/>
      <c r="Y57" s="22">
        <f t="shared" si="31"/>
        <v>0</v>
      </c>
    </row>
    <row r="58" spans="1:25" x14ac:dyDescent="0.25">
      <c r="A58" s="4" t="s">
        <v>30</v>
      </c>
      <c r="B58" s="73"/>
      <c r="C58" s="20"/>
      <c r="D58" s="6">
        <f t="shared" si="24"/>
        <v>0</v>
      </c>
      <c r="E58" s="73"/>
      <c r="F58" s="20"/>
      <c r="G58" s="6">
        <f t="shared" si="25"/>
        <v>0</v>
      </c>
      <c r="H58" s="73"/>
      <c r="I58" s="20"/>
      <c r="J58" s="6">
        <f t="shared" si="26"/>
        <v>0</v>
      </c>
      <c r="K58" s="73"/>
      <c r="L58" s="20"/>
      <c r="M58" s="6">
        <f t="shared" si="27"/>
        <v>0</v>
      </c>
      <c r="N58" s="6">
        <f t="shared" si="32"/>
        <v>0</v>
      </c>
      <c r="O58" s="73"/>
      <c r="P58" s="20"/>
      <c r="Q58" s="6">
        <f t="shared" si="28"/>
        <v>0</v>
      </c>
      <c r="R58" s="73"/>
      <c r="S58" s="20"/>
      <c r="T58" s="6">
        <f t="shared" si="29"/>
        <v>0</v>
      </c>
      <c r="U58" s="73"/>
      <c r="V58" s="20"/>
      <c r="W58" s="6">
        <f t="shared" si="30"/>
        <v>0</v>
      </c>
      <c r="X58" s="73"/>
      <c r="Y58" s="22">
        <f t="shared" si="31"/>
        <v>0</v>
      </c>
    </row>
    <row r="59" spans="1:25" x14ac:dyDescent="0.25">
      <c r="A59" s="4" t="s">
        <v>31</v>
      </c>
      <c r="B59" s="46"/>
      <c r="C59" s="20"/>
      <c r="D59" s="6">
        <f t="shared" si="24"/>
        <v>0</v>
      </c>
      <c r="E59" s="20">
        <v>1321076.2</v>
      </c>
      <c r="F59" s="20"/>
      <c r="G59" s="6">
        <f t="shared" si="25"/>
        <v>1321076.2</v>
      </c>
      <c r="H59" s="46"/>
      <c r="I59" s="20"/>
      <c r="J59" s="6">
        <f t="shared" si="26"/>
        <v>0</v>
      </c>
      <c r="K59" s="20"/>
      <c r="L59" s="20"/>
      <c r="M59" s="6">
        <f t="shared" si="27"/>
        <v>0</v>
      </c>
      <c r="N59" s="6">
        <f t="shared" si="32"/>
        <v>1321076.2</v>
      </c>
      <c r="O59" s="20"/>
      <c r="P59" s="20"/>
      <c r="Q59" s="6">
        <f t="shared" si="28"/>
        <v>0</v>
      </c>
      <c r="R59" s="20"/>
      <c r="S59" s="20"/>
      <c r="T59" s="6">
        <f t="shared" si="29"/>
        <v>0</v>
      </c>
      <c r="U59" s="20"/>
      <c r="V59" s="20"/>
      <c r="W59" s="6">
        <f t="shared" si="30"/>
        <v>0</v>
      </c>
      <c r="X59" s="20"/>
      <c r="Y59" s="22">
        <f t="shared" si="31"/>
        <v>1321076.2</v>
      </c>
    </row>
    <row r="60" spans="1:25" x14ac:dyDescent="0.25">
      <c r="A60" s="4" t="s">
        <v>62</v>
      </c>
      <c r="B60" s="73"/>
      <c r="C60" s="20"/>
      <c r="D60" s="6">
        <f t="shared" si="24"/>
        <v>0</v>
      </c>
      <c r="E60" s="73"/>
      <c r="F60" s="20"/>
      <c r="G60" s="6">
        <f t="shared" si="25"/>
        <v>0</v>
      </c>
      <c r="H60" s="73"/>
      <c r="I60" s="20"/>
      <c r="J60" s="6">
        <f t="shared" si="26"/>
        <v>0</v>
      </c>
      <c r="K60" s="73"/>
      <c r="L60" s="20"/>
      <c r="M60" s="6">
        <f t="shared" si="27"/>
        <v>0</v>
      </c>
      <c r="N60" s="6">
        <f t="shared" si="32"/>
        <v>0</v>
      </c>
      <c r="O60" s="73"/>
      <c r="P60" s="20"/>
      <c r="Q60" s="6">
        <f t="shared" si="28"/>
        <v>0</v>
      </c>
      <c r="R60" s="73"/>
      <c r="S60" s="20"/>
      <c r="T60" s="6">
        <f t="shared" si="29"/>
        <v>0</v>
      </c>
      <c r="U60" s="73"/>
      <c r="V60" s="20"/>
      <c r="W60" s="6">
        <f t="shared" si="30"/>
        <v>0</v>
      </c>
      <c r="X60" s="73"/>
      <c r="Y60" s="22">
        <f t="shared" si="31"/>
        <v>0</v>
      </c>
    </row>
    <row r="61" spans="1:25" x14ac:dyDescent="0.25">
      <c r="A61" s="2" t="s">
        <v>32</v>
      </c>
      <c r="B61" s="43">
        <f>SUM(B55:B60)</f>
        <v>0</v>
      </c>
      <c r="C61" s="6">
        <f t="shared" ref="C61:O61" si="33">SUM(C55:C60)</f>
        <v>0</v>
      </c>
      <c r="D61" s="6">
        <f t="shared" si="33"/>
        <v>0</v>
      </c>
      <c r="E61" s="6">
        <f t="shared" si="33"/>
        <v>1321076.2</v>
      </c>
      <c r="F61" s="6">
        <f t="shared" si="33"/>
        <v>0</v>
      </c>
      <c r="G61" s="6">
        <f t="shared" si="33"/>
        <v>1321076.2</v>
      </c>
      <c r="H61" s="43">
        <f t="shared" si="33"/>
        <v>0</v>
      </c>
      <c r="I61" s="6">
        <f t="shared" si="33"/>
        <v>0</v>
      </c>
      <c r="J61" s="6">
        <f t="shared" si="33"/>
        <v>0</v>
      </c>
      <c r="K61" s="6">
        <f t="shared" si="33"/>
        <v>0</v>
      </c>
      <c r="L61" s="6">
        <f t="shared" si="33"/>
        <v>0</v>
      </c>
      <c r="M61" s="6">
        <f t="shared" si="33"/>
        <v>0</v>
      </c>
      <c r="N61" s="6">
        <f t="shared" si="32"/>
        <v>1321076.2</v>
      </c>
      <c r="O61" s="6">
        <f t="shared" si="33"/>
        <v>0</v>
      </c>
      <c r="P61" s="6">
        <f t="shared" ref="P61:X61" si="34">SUM(P55:P60)</f>
        <v>0</v>
      </c>
      <c r="Q61" s="6">
        <f t="shared" si="34"/>
        <v>0</v>
      </c>
      <c r="R61" s="6">
        <f t="shared" si="34"/>
        <v>0</v>
      </c>
      <c r="S61" s="6">
        <f t="shared" si="34"/>
        <v>0</v>
      </c>
      <c r="T61" s="6">
        <f t="shared" si="34"/>
        <v>0</v>
      </c>
      <c r="U61" s="6">
        <f t="shared" si="34"/>
        <v>0</v>
      </c>
      <c r="V61" s="6">
        <f t="shared" si="34"/>
        <v>0</v>
      </c>
      <c r="W61" s="6">
        <f t="shared" si="34"/>
        <v>0</v>
      </c>
      <c r="X61" s="22">
        <f t="shared" si="34"/>
        <v>0</v>
      </c>
      <c r="Y61" s="22">
        <f t="shared" si="31"/>
        <v>1321076.2</v>
      </c>
    </row>
    <row r="62" spans="1:25" x14ac:dyDescent="0.25">
      <c r="X62" s="22"/>
      <c r="Y62" s="22"/>
    </row>
    <row r="63" spans="1:25" x14ac:dyDescent="0.25">
      <c r="A63" s="2" t="s">
        <v>33</v>
      </c>
      <c r="B63" s="43">
        <f t="shared" ref="B63:M63" si="35">B52-B61</f>
        <v>0</v>
      </c>
      <c r="C63" s="6">
        <f t="shared" si="35"/>
        <v>0</v>
      </c>
      <c r="D63" s="6">
        <f t="shared" si="35"/>
        <v>0</v>
      </c>
      <c r="E63" s="6">
        <f t="shared" si="35"/>
        <v>4677.0300000000279</v>
      </c>
      <c r="F63" s="6">
        <f t="shared" si="35"/>
        <v>0</v>
      </c>
      <c r="G63" s="6">
        <f t="shared" si="35"/>
        <v>4677.0300000000279</v>
      </c>
      <c r="H63" s="43">
        <f t="shared" si="35"/>
        <v>0</v>
      </c>
      <c r="I63" s="6">
        <f t="shared" si="35"/>
        <v>0</v>
      </c>
      <c r="J63" s="6">
        <f t="shared" si="35"/>
        <v>0</v>
      </c>
      <c r="K63" s="6">
        <f t="shared" si="35"/>
        <v>0</v>
      </c>
      <c r="L63" s="6">
        <f t="shared" si="35"/>
        <v>0</v>
      </c>
      <c r="M63" s="6">
        <f t="shared" si="35"/>
        <v>0</v>
      </c>
      <c r="N63" s="6">
        <f>D63+G63+J63+M63</f>
        <v>4677.0300000000279</v>
      </c>
      <c r="O63" s="6">
        <f t="shared" ref="O63:W63" si="36">O52-O61</f>
        <v>0</v>
      </c>
      <c r="P63" s="6">
        <f t="shared" si="36"/>
        <v>0</v>
      </c>
      <c r="Q63" s="6">
        <f t="shared" si="36"/>
        <v>0</v>
      </c>
      <c r="R63" s="6">
        <f t="shared" si="36"/>
        <v>0</v>
      </c>
      <c r="S63" s="6">
        <f t="shared" si="36"/>
        <v>0</v>
      </c>
      <c r="T63" s="6">
        <f t="shared" si="36"/>
        <v>0</v>
      </c>
      <c r="U63" s="6">
        <f t="shared" si="36"/>
        <v>0</v>
      </c>
      <c r="V63" s="6">
        <f t="shared" si="36"/>
        <v>0</v>
      </c>
      <c r="W63" s="6">
        <f t="shared" si="36"/>
        <v>0</v>
      </c>
      <c r="X63" s="22"/>
      <c r="Y63" s="22">
        <f>N63+Q63+T63+W63</f>
        <v>4677.0300000000279</v>
      </c>
    </row>
    <row r="64" spans="1:25" x14ac:dyDescent="0.25">
      <c r="X64" s="22"/>
      <c r="Y64" s="22"/>
    </row>
    <row r="65" spans="1:25" x14ac:dyDescent="0.25">
      <c r="A65" t="s">
        <v>300</v>
      </c>
      <c r="B65" s="46"/>
      <c r="C65" s="20"/>
      <c r="D65" s="6">
        <f>B65+C65</f>
        <v>0</v>
      </c>
      <c r="E65" s="20"/>
      <c r="F65" s="20"/>
      <c r="G65" s="6">
        <f>E65+F65</f>
        <v>0</v>
      </c>
      <c r="H65" s="46"/>
      <c r="I65" s="20"/>
      <c r="J65" s="6">
        <f>H65+I65</f>
        <v>0</v>
      </c>
      <c r="K65" s="20"/>
      <c r="L65" s="20"/>
      <c r="M65" s="6">
        <f>K65+L65</f>
        <v>0</v>
      </c>
      <c r="N65" s="6">
        <f>D65+G65+J65+M65</f>
        <v>0</v>
      </c>
      <c r="O65" s="20"/>
      <c r="P65" s="20"/>
      <c r="Q65" s="6">
        <f>O65+P65</f>
        <v>0</v>
      </c>
      <c r="R65" s="20"/>
      <c r="S65" s="20"/>
      <c r="T65" s="6">
        <f>R65+S65</f>
        <v>0</v>
      </c>
      <c r="U65" s="20"/>
      <c r="V65" s="20"/>
      <c r="W65" s="6">
        <f>U65+V65</f>
        <v>0</v>
      </c>
      <c r="X65" s="20"/>
      <c r="Y65" s="22">
        <f>N65+Q65+T65+W65+X65</f>
        <v>0</v>
      </c>
    </row>
    <row r="66" spans="1:25" x14ac:dyDescent="0.25">
      <c r="A66" t="s">
        <v>34</v>
      </c>
      <c r="B66" s="46"/>
      <c r="C66" s="20"/>
      <c r="D66" s="6">
        <f>B66+C66</f>
        <v>0</v>
      </c>
      <c r="E66" s="20"/>
      <c r="F66" s="20"/>
      <c r="G66" s="6">
        <f>E66+F66</f>
        <v>0</v>
      </c>
      <c r="H66" s="46"/>
      <c r="I66" s="20"/>
      <c r="J66" s="6">
        <f>H66+I66</f>
        <v>0</v>
      </c>
      <c r="K66" s="20"/>
      <c r="L66" s="20"/>
      <c r="M66" s="6">
        <f>K66+L66</f>
        <v>0</v>
      </c>
      <c r="N66" s="6">
        <f>D66+G66+J66+M66</f>
        <v>0</v>
      </c>
      <c r="O66" s="20"/>
      <c r="P66" s="20"/>
      <c r="Q66" s="6">
        <f>O66+P66</f>
        <v>0</v>
      </c>
      <c r="R66" s="20"/>
      <c r="S66" s="20"/>
      <c r="T66" s="6">
        <f>R66+S66</f>
        <v>0</v>
      </c>
      <c r="U66" s="20"/>
      <c r="V66" s="20"/>
      <c r="W66" s="6">
        <f>U66+V66</f>
        <v>0</v>
      </c>
      <c r="X66" s="20"/>
      <c r="Y66" s="22">
        <f>N66+Q66+T66+W66+X66</f>
        <v>0</v>
      </c>
    </row>
    <row r="67" spans="1:25" x14ac:dyDescent="0.25">
      <c r="A67" t="s">
        <v>35</v>
      </c>
      <c r="B67" s="46"/>
      <c r="C67" s="20"/>
      <c r="D67" s="6">
        <f>B67+C67</f>
        <v>0</v>
      </c>
      <c r="E67" s="20">
        <v>4677.03</v>
      </c>
      <c r="F67" s="20"/>
      <c r="G67" s="6">
        <f>E67+F67</f>
        <v>4677.03</v>
      </c>
      <c r="H67" s="46"/>
      <c r="I67" s="20"/>
      <c r="J67" s="6">
        <f>H67+I67</f>
        <v>0</v>
      </c>
      <c r="K67" s="20"/>
      <c r="L67" s="20"/>
      <c r="M67" s="6">
        <f>K67+L67</f>
        <v>0</v>
      </c>
      <c r="N67" s="6">
        <f>D67+G67+J67+M67</f>
        <v>4677.03</v>
      </c>
      <c r="O67" s="20"/>
      <c r="P67" s="20"/>
      <c r="Q67" s="6">
        <f>O67+P67</f>
        <v>0</v>
      </c>
      <c r="R67" s="20"/>
      <c r="S67" s="20"/>
      <c r="T67" s="6">
        <f>R67+S67</f>
        <v>0</v>
      </c>
      <c r="U67" s="20"/>
      <c r="V67" s="20"/>
      <c r="W67" s="6">
        <f>U67+V67</f>
        <v>0</v>
      </c>
      <c r="X67" s="20"/>
      <c r="Y67" s="22">
        <f>N67+Q67+T67+W67+X67</f>
        <v>4677.03</v>
      </c>
    </row>
    <row r="68" spans="1:25" x14ac:dyDescent="0.25">
      <c r="A68" s="2" t="s">
        <v>36</v>
      </c>
      <c r="B68" s="43">
        <f>B65+B66-B67</f>
        <v>0</v>
      </c>
      <c r="C68" s="6">
        <f>C65+C66-C67</f>
        <v>0</v>
      </c>
      <c r="D68" s="6">
        <f>D65+D66-D67</f>
        <v>0</v>
      </c>
      <c r="E68" s="6">
        <f>E65+E66-E67</f>
        <v>-4677.03</v>
      </c>
      <c r="F68" s="6">
        <f>F65+F66-F67</f>
        <v>0</v>
      </c>
      <c r="G68" s="6">
        <f>E68+F68</f>
        <v>-4677.03</v>
      </c>
      <c r="H68" s="43">
        <f>H65+H66-H67</f>
        <v>0</v>
      </c>
      <c r="I68" s="6">
        <f>I65+I66-I67</f>
        <v>0</v>
      </c>
      <c r="J68" s="6">
        <f>H68+I68</f>
        <v>0</v>
      </c>
      <c r="K68" s="6">
        <f>K65+K66-K67</f>
        <v>0</v>
      </c>
      <c r="L68" s="6">
        <f>L65+L66-L67</f>
        <v>0</v>
      </c>
      <c r="M68" s="6">
        <f>K68+L68</f>
        <v>0</v>
      </c>
      <c r="N68" s="6">
        <f>D68+G68+J68+M68</f>
        <v>-4677.03</v>
      </c>
      <c r="O68" s="6">
        <f>O65+O66-O67</f>
        <v>0</v>
      </c>
      <c r="P68" s="6">
        <f>P65+P66-P67</f>
        <v>0</v>
      </c>
      <c r="Q68" s="6">
        <f>Q66-Q67</f>
        <v>0</v>
      </c>
      <c r="R68" s="6">
        <f>R65+R66-R67</f>
        <v>0</v>
      </c>
      <c r="S68" s="6">
        <f>S65+S66-S67</f>
        <v>0</v>
      </c>
      <c r="T68" s="6">
        <f>T66-T67</f>
        <v>0</v>
      </c>
      <c r="U68" s="6">
        <f>U65+U66-U67</f>
        <v>0</v>
      </c>
      <c r="V68" s="6">
        <f>V65+V66-V67</f>
        <v>0</v>
      </c>
      <c r="W68" s="6">
        <f>W66-W67</f>
        <v>0</v>
      </c>
      <c r="X68" s="22">
        <f>X66-X67</f>
        <v>0</v>
      </c>
      <c r="Y68" s="22">
        <f>N68+Q68+T68+W68</f>
        <v>-4677.03</v>
      </c>
    </row>
    <row r="69" spans="1:25" x14ac:dyDescent="0.25">
      <c r="X69" s="22"/>
      <c r="Y69" s="22"/>
    </row>
    <row r="70" spans="1:25" x14ac:dyDescent="0.25">
      <c r="A70" s="2" t="s">
        <v>37</v>
      </c>
      <c r="B70" s="43">
        <f t="shared" ref="B70:M70" si="37">B63+B68</f>
        <v>0</v>
      </c>
      <c r="C70" s="6">
        <f t="shared" si="37"/>
        <v>0</v>
      </c>
      <c r="D70" s="6">
        <f t="shared" si="37"/>
        <v>0</v>
      </c>
      <c r="E70" s="6">
        <f t="shared" si="37"/>
        <v>2.8194335754960775E-11</v>
      </c>
      <c r="F70" s="6">
        <f t="shared" si="37"/>
        <v>0</v>
      </c>
      <c r="G70" s="6">
        <f t="shared" si="37"/>
        <v>2.8194335754960775E-11</v>
      </c>
      <c r="H70" s="43">
        <f t="shared" si="37"/>
        <v>0</v>
      </c>
      <c r="I70" s="6">
        <f t="shared" si="37"/>
        <v>0</v>
      </c>
      <c r="J70" s="6">
        <f t="shared" si="37"/>
        <v>0</v>
      </c>
      <c r="K70" s="6">
        <f t="shared" si="37"/>
        <v>0</v>
      </c>
      <c r="L70" s="6">
        <f t="shared" si="37"/>
        <v>0</v>
      </c>
      <c r="M70" s="6">
        <f t="shared" si="37"/>
        <v>0</v>
      </c>
      <c r="N70" s="6">
        <f>D70+G70+J70+M70</f>
        <v>2.8194335754960775E-11</v>
      </c>
      <c r="O70" s="6">
        <f t="shared" ref="O70:X70" si="38">O63+O68</f>
        <v>0</v>
      </c>
      <c r="P70" s="6">
        <f t="shared" si="38"/>
        <v>0</v>
      </c>
      <c r="Q70" s="6">
        <f t="shared" si="38"/>
        <v>0</v>
      </c>
      <c r="R70" s="6">
        <f t="shared" si="38"/>
        <v>0</v>
      </c>
      <c r="S70" s="6">
        <f t="shared" si="38"/>
        <v>0</v>
      </c>
      <c r="T70" s="6">
        <f t="shared" si="38"/>
        <v>0</v>
      </c>
      <c r="U70" s="6">
        <f t="shared" si="38"/>
        <v>0</v>
      </c>
      <c r="V70" s="6">
        <f t="shared" si="38"/>
        <v>0</v>
      </c>
      <c r="W70" s="6">
        <f t="shared" si="38"/>
        <v>0</v>
      </c>
      <c r="X70" s="22">
        <f t="shared" si="38"/>
        <v>0</v>
      </c>
      <c r="Y70" s="22">
        <f>N70+Q70+T70+W70</f>
        <v>2.8194335754960775E-11</v>
      </c>
    </row>
    <row r="71" spans="1:25" x14ac:dyDescent="0.25">
      <c r="A71" t="s">
        <v>38</v>
      </c>
      <c r="B71" s="43">
        <f>B72-B70</f>
        <v>0</v>
      </c>
      <c r="C71" s="6">
        <f>C72-C70</f>
        <v>0</v>
      </c>
      <c r="D71" s="6">
        <f>D72-D70</f>
        <v>0</v>
      </c>
      <c r="E71" s="6">
        <f>E72-E70</f>
        <v>-0.12000000002819433</v>
      </c>
      <c r="F71" s="6">
        <f>F72-F70</f>
        <v>0</v>
      </c>
      <c r="G71" s="6">
        <f>E71+F71</f>
        <v>-0.12000000002819433</v>
      </c>
      <c r="H71" s="43">
        <f>H72-H70</f>
        <v>0</v>
      </c>
      <c r="I71" s="6">
        <f>I72-I70</f>
        <v>0</v>
      </c>
      <c r="J71" s="6">
        <f>H71+I71</f>
        <v>0</v>
      </c>
      <c r="K71" s="6">
        <f>K72-K70</f>
        <v>0</v>
      </c>
      <c r="L71" s="6">
        <f>L72-L70</f>
        <v>0</v>
      </c>
      <c r="M71" s="6">
        <f>K71+L71</f>
        <v>0</v>
      </c>
      <c r="N71" s="6">
        <f>D71+G71+J71+M71</f>
        <v>-0.12000000002819433</v>
      </c>
      <c r="O71" s="6">
        <f>O72-O70</f>
        <v>0</v>
      </c>
      <c r="P71" s="6">
        <f>P72-P70</f>
        <v>0</v>
      </c>
      <c r="Q71" s="6">
        <f>O71+P71</f>
        <v>0</v>
      </c>
      <c r="R71" s="6">
        <f>R72-R70</f>
        <v>0</v>
      </c>
      <c r="S71" s="6">
        <f>S72-S70</f>
        <v>0</v>
      </c>
      <c r="T71" s="6">
        <f>R71+S71</f>
        <v>0</v>
      </c>
      <c r="U71" s="6">
        <f>U72-U70</f>
        <v>0</v>
      </c>
      <c r="V71" s="6">
        <f>V72-V70</f>
        <v>0</v>
      </c>
      <c r="W71" s="6">
        <f>U71+V71</f>
        <v>0</v>
      </c>
      <c r="X71" s="22">
        <f>V71+W71</f>
        <v>0</v>
      </c>
      <c r="Y71" s="22">
        <f>N71+Q71+T71+W71</f>
        <v>-0.12000000002819433</v>
      </c>
    </row>
    <row r="72" spans="1:25" x14ac:dyDescent="0.25">
      <c r="A72" s="2" t="s">
        <v>39</v>
      </c>
      <c r="B72" s="43">
        <f t="shared" ref="B72:M72" si="39">B42</f>
        <v>0</v>
      </c>
      <c r="C72" s="6">
        <f t="shared" si="39"/>
        <v>0</v>
      </c>
      <c r="D72" s="6">
        <f t="shared" si="39"/>
        <v>0</v>
      </c>
      <c r="E72" s="6">
        <f t="shared" si="39"/>
        <v>-0.12</v>
      </c>
      <c r="F72" s="6">
        <f t="shared" si="39"/>
        <v>0</v>
      </c>
      <c r="G72" s="6">
        <f t="shared" si="39"/>
        <v>-0.12</v>
      </c>
      <c r="H72" s="43">
        <f t="shared" si="39"/>
        <v>0</v>
      </c>
      <c r="I72" s="6">
        <f t="shared" si="39"/>
        <v>0</v>
      </c>
      <c r="J72" s="6">
        <f t="shared" si="39"/>
        <v>0</v>
      </c>
      <c r="K72" s="6">
        <f t="shared" si="39"/>
        <v>0</v>
      </c>
      <c r="L72" s="6">
        <f t="shared" si="39"/>
        <v>0</v>
      </c>
      <c r="M72" s="6">
        <f t="shared" si="39"/>
        <v>0</v>
      </c>
      <c r="N72" s="6">
        <f>D72+G72+J72+M72</f>
        <v>-0.12</v>
      </c>
      <c r="O72" s="6">
        <f t="shared" ref="O72:X72" si="40">O42</f>
        <v>0</v>
      </c>
      <c r="P72" s="6">
        <f t="shared" si="40"/>
        <v>0</v>
      </c>
      <c r="Q72" s="6">
        <f t="shared" si="40"/>
        <v>0</v>
      </c>
      <c r="R72" s="6">
        <f t="shared" si="40"/>
        <v>0</v>
      </c>
      <c r="S72" s="6">
        <f t="shared" si="40"/>
        <v>0</v>
      </c>
      <c r="T72" s="6">
        <f t="shared" si="40"/>
        <v>0</v>
      </c>
      <c r="U72" s="6">
        <f t="shared" si="40"/>
        <v>0</v>
      </c>
      <c r="V72" s="6">
        <f t="shared" si="40"/>
        <v>0</v>
      </c>
      <c r="W72" s="6">
        <f t="shared" si="40"/>
        <v>0</v>
      </c>
      <c r="X72" s="22">
        <f t="shared" si="40"/>
        <v>0</v>
      </c>
      <c r="Y72" s="22">
        <f>N72+Q72+T72+W72</f>
        <v>-0.12</v>
      </c>
    </row>
  </sheetData>
  <sheetProtection sheet="1" formatCells="0" formatColumns="0" formatRows="0"/>
  <customSheetViews>
    <customSheetView guid="{E68B3865-8D72-47E7-BE32-0FF7EB09E889}" scale="90">
      <pane xSplit="1" ySplit="5" topLeftCell="B6" activePane="bottomRight" state="frozen"/>
      <selection pane="bottomRight" activeCell="F12" sqref="F12"/>
      <pageMargins left="0.45" right="0.45" top="0.5" bottom="0.5" header="0.3" footer="0.3"/>
      <printOptions gridLines="1"/>
      <pageSetup scale="60" fitToWidth="2" orientation="landscape" horizontalDpi="4294967293" r:id="rId1"/>
    </customSheetView>
    <customSheetView guid="{DE6E911D-85BF-467A-AA00-1E84C5349CF7}" scale="90">
      <pane xSplit="1" ySplit="5" topLeftCell="B6" activePane="bottomRight" state="frozen"/>
      <selection pane="bottomRight" activeCell="F12" sqref="F12"/>
      <pageMargins left="0.45" right="0.45" top="0.5" bottom="0.5" header="0.3" footer="0.3"/>
      <printOptions gridLines="1"/>
      <pageSetup scale="60" fitToWidth="2" orientation="landscape" horizontalDpi="4294967293" r:id="rId2"/>
    </customSheetView>
    <customSheetView guid="{A6F79E61-D6A3-44FD-B4A4-4724DF74349B}" showPageBreaks="1">
      <pane xSplit="1" ySplit="5" topLeftCell="I6" activePane="bottomRight" state="frozen"/>
      <selection pane="bottomRight" activeCell="Z9" sqref="Z9"/>
      <pageMargins left="0.45" right="0.45" top="0.5" bottom="0.5" header="0.3" footer="0.3"/>
      <printOptions gridLines="1"/>
      <pageSetup scale="60" fitToWidth="2" orientation="landscape" horizontalDpi="4294967293" r:id="rId3"/>
    </customSheetView>
    <customSheetView guid="{D62C3EC3-27D1-41F3-9A4E-06307CA202CE}" showPageBreaks="1" showRuler="0">
      <pane xSplit="1" ySplit="5" topLeftCell="B30" activePane="bottomRight" state="frozen"/>
      <selection pane="bottomRight" activeCell="U33" sqref="U33"/>
      <pageMargins left="0.45" right="0.45" top="0.5" bottom="0.5" header="0.3" footer="0.3"/>
      <printOptions gridLines="1"/>
      <pageSetup scale="60" fitToWidth="2" orientation="landscape" horizontalDpi="4294967293" r:id="rId4"/>
      <headerFooter alignWithMargins="0"/>
    </customSheetView>
    <customSheetView guid="{EC03C3C8-7E57-47C6-8413-F484E8C46A0C}" showPageBreaks="1">
      <pane xSplit="1" ySplit="5" topLeftCell="O40" activePane="bottomRight" state="frozen"/>
      <selection pane="bottomRight" activeCell="O51" sqref="O51"/>
      <pageMargins left="0.45" right="0.45" top="0.5" bottom="0.5" header="0.3" footer="0.3"/>
      <printOptions gridLines="1"/>
      <pageSetup scale="60" fitToWidth="2" orientation="landscape" horizontalDpi="4294967293" r:id="rId5"/>
    </customSheetView>
    <customSheetView guid="{2B2709E2-6DF4-4CC4-88D0-056FB306137C}">
      <pane xSplit="1" ySplit="5" topLeftCell="C45" activePane="bottomRight" state="frozen"/>
      <selection pane="bottomRight" activeCell="T67" sqref="T67"/>
      <pageMargins left="0.45" right="0.45" top="0.5" bottom="0.5" header="0.3" footer="0.3"/>
      <printOptions gridLines="1"/>
      <pageSetup scale="60" fitToWidth="2" orientation="landscape" horizontalDpi="4294967293" r:id="rId6"/>
    </customSheetView>
  </customSheetViews>
  <phoneticPr fontId="0" type="noConversion"/>
  <printOptions gridLines="1"/>
  <pageMargins left="0.45" right="0.45" top="0.5" bottom="0.5" header="0.3" footer="0.3"/>
  <pageSetup scale="60" fitToWidth="2" orientation="landscape" horizontalDpi="4294967293" r:id="rId7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topLeftCell="A41" zoomScale="90" zoomScaleNormal="90" workbookViewId="0">
      <selection activeCell="A61" sqref="A61"/>
    </sheetView>
  </sheetViews>
  <sheetFormatPr defaultRowHeight="15" x14ac:dyDescent="0.25"/>
  <cols>
    <col min="1" max="1" width="31" customWidth="1"/>
    <col min="2" max="2" width="12.7109375" style="6" bestFit="1" customWidth="1"/>
    <col min="3" max="3" width="18.42578125" style="6" customWidth="1"/>
    <col min="4" max="4" width="11.85546875" style="6" bestFit="1" customWidth="1"/>
    <col min="5" max="5" width="20.42578125" style="6" customWidth="1"/>
    <col min="6" max="6" width="11.85546875" style="6" customWidth="1"/>
    <col min="7" max="7" width="16.42578125" style="6" customWidth="1"/>
    <col min="8" max="8" width="14" style="6" customWidth="1"/>
    <col min="9" max="10" width="16.42578125" style="6" customWidth="1"/>
    <col min="11" max="11" width="9.140625" style="6"/>
    <col min="12" max="12" width="13.5703125" style="6" bestFit="1" customWidth="1"/>
    <col min="13" max="13" width="12.7109375" bestFit="1" customWidth="1"/>
  </cols>
  <sheetData>
    <row r="1" spans="1:12" ht="23.25" x14ac:dyDescent="0.35">
      <c r="A1" s="5" t="s">
        <v>105</v>
      </c>
    </row>
    <row r="2" spans="1:12" x14ac:dyDescent="0.25">
      <c r="A2" t="s">
        <v>1</v>
      </c>
    </row>
    <row r="3" spans="1:12" x14ac:dyDescent="0.25">
      <c r="A3" s="1">
        <f>'Transportation Fund'!A3</f>
        <v>43830</v>
      </c>
    </row>
    <row r="4" spans="1:12" x14ac:dyDescent="0.25">
      <c r="A4" s="1"/>
      <c r="B4" s="6" t="s">
        <v>360</v>
      </c>
      <c r="C4" s="6" t="s">
        <v>360</v>
      </c>
      <c r="D4" s="6" t="s">
        <v>359</v>
      </c>
    </row>
    <row r="5" spans="1:12" ht="30" x14ac:dyDescent="0.25">
      <c r="A5" s="1"/>
      <c r="B5" s="7" t="s">
        <v>106</v>
      </c>
      <c r="C5" s="7" t="s">
        <v>107</v>
      </c>
      <c r="D5" s="7" t="s">
        <v>108</v>
      </c>
      <c r="E5" s="7" t="s">
        <v>109</v>
      </c>
      <c r="F5" s="7"/>
      <c r="G5" s="7"/>
      <c r="H5" s="7"/>
      <c r="I5" s="7"/>
      <c r="J5" s="7"/>
      <c r="K5" s="7"/>
      <c r="L5" s="7"/>
    </row>
    <row r="6" spans="1:12" x14ac:dyDescent="0.25">
      <c r="E6" s="7"/>
    </row>
    <row r="7" spans="1:12" x14ac:dyDescent="0.25">
      <c r="A7" s="3" t="s">
        <v>2</v>
      </c>
      <c r="E7" s="7"/>
    </row>
    <row r="8" spans="1:12" x14ac:dyDescent="0.25">
      <c r="A8" s="4" t="s">
        <v>3</v>
      </c>
      <c r="B8" s="20">
        <v>5695.36</v>
      </c>
      <c r="C8" s="20">
        <v>130975.1</v>
      </c>
      <c r="D8" s="20">
        <v>37213.879999999997</v>
      </c>
      <c r="E8" s="7">
        <f t="shared" ref="E8:E13" si="0">SUM(B8:D8)</f>
        <v>173884.34</v>
      </c>
      <c r="G8" s="49"/>
    </row>
    <row r="9" spans="1:12" x14ac:dyDescent="0.25">
      <c r="A9" s="4" t="s">
        <v>4</v>
      </c>
      <c r="B9" s="20"/>
      <c r="C9" s="20"/>
      <c r="D9" s="20"/>
      <c r="E9" s="7">
        <f t="shared" si="0"/>
        <v>0</v>
      </c>
    </row>
    <row r="10" spans="1:12" x14ac:dyDescent="0.25">
      <c r="A10" s="4" t="s">
        <v>6</v>
      </c>
      <c r="B10" s="20"/>
      <c r="C10" s="20"/>
      <c r="D10" s="20"/>
      <c r="E10" s="7">
        <f t="shared" si="0"/>
        <v>0</v>
      </c>
    </row>
    <row r="11" spans="1:12" x14ac:dyDescent="0.25">
      <c r="A11" s="4" t="s">
        <v>5</v>
      </c>
      <c r="B11" s="20"/>
      <c r="C11" s="20"/>
      <c r="D11" s="20"/>
      <c r="E11" s="7">
        <f t="shared" si="0"/>
        <v>0</v>
      </c>
    </row>
    <row r="12" spans="1:12" x14ac:dyDescent="0.25">
      <c r="A12" s="4" t="s">
        <v>61</v>
      </c>
      <c r="B12" s="20"/>
      <c r="C12" s="20"/>
      <c r="D12" s="20">
        <v>3000</v>
      </c>
      <c r="E12" s="7">
        <f t="shared" si="0"/>
        <v>3000</v>
      </c>
    </row>
    <row r="13" spans="1:12" x14ac:dyDescent="0.25">
      <c r="A13" s="2" t="s">
        <v>7</v>
      </c>
      <c r="B13" s="6">
        <f>SUM(B8:B12)</f>
        <v>5695.36</v>
      </c>
      <c r="C13" s="6">
        <f>SUM(C8:C12)</f>
        <v>130975.1</v>
      </c>
      <c r="D13" s="6">
        <f>SUM(D8:D12)</f>
        <v>40213.879999999997</v>
      </c>
      <c r="E13" s="7">
        <f t="shared" si="0"/>
        <v>176884.34</v>
      </c>
    </row>
    <row r="14" spans="1:12" x14ac:dyDescent="0.25">
      <c r="E14" s="7"/>
    </row>
    <row r="15" spans="1:12" x14ac:dyDescent="0.25">
      <c r="A15" s="3" t="s">
        <v>8</v>
      </c>
      <c r="E15" s="7"/>
    </row>
    <row r="16" spans="1:12" x14ac:dyDescent="0.25">
      <c r="A16" s="4" t="s">
        <v>9</v>
      </c>
      <c r="B16" s="20"/>
      <c r="C16" s="20"/>
      <c r="D16" s="20"/>
      <c r="E16" s="7">
        <f>SUM(B16:D16)</f>
        <v>0</v>
      </c>
    </row>
    <row r="17" spans="1:5" x14ac:dyDescent="0.25">
      <c r="A17" s="4" t="s">
        <v>10</v>
      </c>
      <c r="B17" s="20"/>
      <c r="C17" s="20"/>
      <c r="D17" s="20"/>
      <c r="E17" s="7">
        <f>SUM(B17:D17)</f>
        <v>0</v>
      </c>
    </row>
    <row r="18" spans="1:5" x14ac:dyDescent="0.25">
      <c r="A18" s="4" t="s">
        <v>190</v>
      </c>
      <c r="B18" s="20"/>
      <c r="C18" s="20"/>
      <c r="D18" s="20"/>
      <c r="E18" s="7">
        <f>SUM(B18:D18)</f>
        <v>0</v>
      </c>
    </row>
    <row r="19" spans="1:5" x14ac:dyDescent="0.25">
      <c r="A19" s="4" t="s">
        <v>12</v>
      </c>
      <c r="B19" s="20"/>
      <c r="C19" s="20"/>
      <c r="D19" s="20"/>
      <c r="E19" s="7">
        <f>SUM(B19:D19)</f>
        <v>0</v>
      </c>
    </row>
    <row r="20" spans="1:5" x14ac:dyDescent="0.25">
      <c r="A20" s="2" t="s">
        <v>13</v>
      </c>
      <c r="B20" s="6">
        <f>SUM(B16:B19)</f>
        <v>0</v>
      </c>
      <c r="C20" s="6">
        <f>SUM(C16:C19)</f>
        <v>0</v>
      </c>
      <c r="D20" s="6">
        <f>SUM(D16:D19)</f>
        <v>0</v>
      </c>
      <c r="E20" s="7">
        <f>SUM(B20:D20)</f>
        <v>0</v>
      </c>
    </row>
    <row r="21" spans="1:5" x14ac:dyDescent="0.25">
      <c r="E21" s="7"/>
    </row>
    <row r="22" spans="1:5" x14ac:dyDescent="0.25">
      <c r="A22" s="3" t="s">
        <v>14</v>
      </c>
      <c r="E22" s="7"/>
    </row>
    <row r="23" spans="1:5" x14ac:dyDescent="0.25">
      <c r="A23" s="78" t="s">
        <v>370</v>
      </c>
      <c r="B23" s="55"/>
      <c r="C23" s="55"/>
      <c r="D23" s="55"/>
      <c r="E23" s="7">
        <f>SUM(B23:D23)</f>
        <v>0</v>
      </c>
    </row>
    <row r="24" spans="1:5" x14ac:dyDescent="0.25">
      <c r="A24" s="77" t="s">
        <v>369</v>
      </c>
      <c r="B24" s="55"/>
      <c r="C24" s="55"/>
      <c r="D24" s="55"/>
      <c r="E24" s="7">
        <f t="shared" ref="E24:E40" si="1">SUM(B24:D24)</f>
        <v>0</v>
      </c>
    </row>
    <row r="25" spans="1:5" x14ac:dyDescent="0.25">
      <c r="A25" s="77" t="s">
        <v>31</v>
      </c>
      <c r="B25" s="55"/>
      <c r="C25" s="55"/>
      <c r="D25" s="20">
        <v>40213.879999999997</v>
      </c>
      <c r="E25" s="7">
        <f t="shared" si="1"/>
        <v>40213.879999999997</v>
      </c>
    </row>
    <row r="26" spans="1:5" x14ac:dyDescent="0.25">
      <c r="A26" s="77" t="s">
        <v>333</v>
      </c>
      <c r="B26" s="55"/>
      <c r="C26" s="55"/>
      <c r="D26" s="55"/>
      <c r="E26" s="7">
        <f t="shared" si="1"/>
        <v>0</v>
      </c>
    </row>
    <row r="27" spans="1:5" x14ac:dyDescent="0.25">
      <c r="A27" s="77" t="s">
        <v>334</v>
      </c>
      <c r="B27" s="55"/>
      <c r="C27" s="55"/>
      <c r="D27" s="55"/>
      <c r="E27" s="7">
        <f t="shared" si="1"/>
        <v>0</v>
      </c>
    </row>
    <row r="28" spans="1:5" x14ac:dyDescent="0.25">
      <c r="A28" s="77" t="s">
        <v>335</v>
      </c>
      <c r="B28" s="55"/>
      <c r="C28" s="55"/>
      <c r="D28" s="55"/>
      <c r="E28" s="7">
        <f t="shared" si="1"/>
        <v>0</v>
      </c>
    </row>
    <row r="29" spans="1:5" x14ac:dyDescent="0.25">
      <c r="A29" s="77" t="s">
        <v>336</v>
      </c>
      <c r="B29" s="55"/>
      <c r="C29" s="55"/>
      <c r="D29" s="55"/>
      <c r="E29" s="7">
        <f t="shared" si="1"/>
        <v>0</v>
      </c>
    </row>
    <row r="30" spans="1:5" x14ac:dyDescent="0.25">
      <c r="A30" s="77" t="s">
        <v>337</v>
      </c>
      <c r="B30" s="55"/>
      <c r="C30" s="55"/>
      <c r="D30" s="55"/>
      <c r="E30" s="7">
        <f t="shared" si="1"/>
        <v>0</v>
      </c>
    </row>
    <row r="31" spans="1:5" x14ac:dyDescent="0.25">
      <c r="A31" s="77" t="s">
        <v>362</v>
      </c>
      <c r="B31" s="55"/>
      <c r="C31" s="55"/>
      <c r="D31" s="55"/>
      <c r="E31" s="7">
        <f t="shared" si="1"/>
        <v>0</v>
      </c>
    </row>
    <row r="32" spans="1:5" x14ac:dyDescent="0.25">
      <c r="A32" s="77" t="s">
        <v>339</v>
      </c>
      <c r="B32" s="20">
        <v>5695.36</v>
      </c>
      <c r="C32" s="20">
        <v>130975.1</v>
      </c>
      <c r="D32" s="55"/>
      <c r="E32" s="7">
        <f t="shared" si="1"/>
        <v>136670.46</v>
      </c>
    </row>
    <row r="33" spans="1:5" x14ac:dyDescent="0.25">
      <c r="A33" s="77" t="s">
        <v>363</v>
      </c>
      <c r="B33" s="55"/>
      <c r="C33" s="55"/>
      <c r="D33" s="55"/>
      <c r="E33" s="7">
        <f t="shared" si="1"/>
        <v>0</v>
      </c>
    </row>
    <row r="34" spans="1:5" x14ac:dyDescent="0.25">
      <c r="A34" s="77" t="s">
        <v>364</v>
      </c>
      <c r="B34" s="55"/>
      <c r="C34" s="55"/>
      <c r="D34" s="55"/>
      <c r="E34" s="7">
        <f t="shared" si="1"/>
        <v>0</v>
      </c>
    </row>
    <row r="35" spans="1:5" x14ac:dyDescent="0.25">
      <c r="A35" s="78" t="s">
        <v>365</v>
      </c>
      <c r="B35" s="55"/>
      <c r="C35" s="55"/>
      <c r="D35" s="55"/>
      <c r="E35" s="7">
        <f t="shared" si="1"/>
        <v>0</v>
      </c>
    </row>
    <row r="36" spans="1:5" x14ac:dyDescent="0.25">
      <c r="A36" s="77" t="s">
        <v>371</v>
      </c>
      <c r="B36" s="55"/>
      <c r="C36" s="55"/>
      <c r="D36" s="55"/>
      <c r="E36" s="7">
        <f t="shared" si="1"/>
        <v>0</v>
      </c>
    </row>
    <row r="37" spans="1:5" x14ac:dyDescent="0.25">
      <c r="A37" s="77" t="s">
        <v>366</v>
      </c>
      <c r="B37" s="55"/>
      <c r="C37" s="55"/>
      <c r="D37" s="55"/>
      <c r="E37" s="7">
        <f t="shared" si="1"/>
        <v>0</v>
      </c>
    </row>
    <row r="38" spans="1:5" x14ac:dyDescent="0.25">
      <c r="A38" s="77" t="s">
        <v>367</v>
      </c>
      <c r="B38" s="55"/>
      <c r="C38" s="55"/>
      <c r="D38" s="55"/>
      <c r="E38" s="7">
        <f t="shared" si="1"/>
        <v>0</v>
      </c>
    </row>
    <row r="39" spans="1:5" x14ac:dyDescent="0.25">
      <c r="A39" s="77" t="s">
        <v>368</v>
      </c>
      <c r="B39" s="55"/>
      <c r="C39" s="55"/>
      <c r="D39" s="55"/>
      <c r="E39" s="7">
        <f t="shared" si="1"/>
        <v>0</v>
      </c>
    </row>
    <row r="40" spans="1:5" x14ac:dyDescent="0.25">
      <c r="A40" s="78" t="s">
        <v>17</v>
      </c>
      <c r="B40" s="55"/>
      <c r="C40" s="55"/>
      <c r="D40" s="55"/>
      <c r="E40" s="7">
        <f t="shared" si="1"/>
        <v>0</v>
      </c>
    </row>
    <row r="41" spans="1:5" x14ac:dyDescent="0.25">
      <c r="A41" s="2" t="s">
        <v>18</v>
      </c>
      <c r="B41" s="6">
        <f>SUM(B23:B40)</f>
        <v>5695.36</v>
      </c>
      <c r="C41" s="6">
        <f>SUM(C23:C40)</f>
        <v>130975.1</v>
      </c>
      <c r="D41" s="6">
        <f>SUM(D23:D40)</f>
        <v>40213.879999999997</v>
      </c>
      <c r="E41" s="7">
        <f>SUM(B41:D41)</f>
        <v>176884.34</v>
      </c>
    </row>
    <row r="42" spans="1:5" x14ac:dyDescent="0.25">
      <c r="E42" s="7"/>
    </row>
    <row r="43" spans="1:5" x14ac:dyDescent="0.25">
      <c r="A43" s="2" t="s">
        <v>19</v>
      </c>
      <c r="B43" s="6">
        <f>B20+B41</f>
        <v>5695.36</v>
      </c>
      <c r="C43" s="6">
        <f>C20+C41</f>
        <v>130975.1</v>
      </c>
      <c r="D43" s="6">
        <f>D20+D41</f>
        <v>40213.879999999997</v>
      </c>
      <c r="E43" s="7">
        <f>SUM(B43:D43)</f>
        <v>176884.34</v>
      </c>
    </row>
    <row r="44" spans="1:5" x14ac:dyDescent="0.25">
      <c r="B44" s="49" t="str">
        <f>IF(B13=B43,"YES","NO")</f>
        <v>YES</v>
      </c>
      <c r="C44" s="49" t="str">
        <f>IF(C13=C43,"YES","NO")</f>
        <v>YES</v>
      </c>
      <c r="D44" s="49" t="str">
        <f>IF(D13=D43,"YES","NO")</f>
        <v>YES</v>
      </c>
      <c r="E44" s="49" t="str">
        <f>IF(E13=E43,"YES","NO")</f>
        <v>YES</v>
      </c>
    </row>
    <row r="45" spans="1:5" x14ac:dyDescent="0.25">
      <c r="A45" s="3" t="s">
        <v>20</v>
      </c>
      <c r="E45" s="7"/>
    </row>
    <row r="46" spans="1:5" x14ac:dyDescent="0.25">
      <c r="A46" s="4" t="s">
        <v>21</v>
      </c>
      <c r="B46" s="20"/>
      <c r="C46" s="20"/>
      <c r="D46" s="20"/>
      <c r="E46" s="7">
        <f>SUM(B46:D46)</f>
        <v>0</v>
      </c>
    </row>
    <row r="47" spans="1:5" x14ac:dyDescent="0.25">
      <c r="A47" s="4" t="s">
        <v>22</v>
      </c>
      <c r="B47" s="20"/>
      <c r="C47" s="20"/>
      <c r="D47" s="20"/>
      <c r="E47" s="7">
        <f>SUM(B47:D47)</f>
        <v>0</v>
      </c>
    </row>
    <row r="48" spans="1:5" x14ac:dyDescent="0.25">
      <c r="A48" s="4" t="s">
        <v>23</v>
      </c>
      <c r="B48" s="20">
        <v>12.15</v>
      </c>
      <c r="C48" s="20">
        <v>11960.72</v>
      </c>
      <c r="D48" s="20">
        <v>86.65</v>
      </c>
      <c r="E48" s="7">
        <f>SUM(B48:D48)</f>
        <v>12059.519999999999</v>
      </c>
    </row>
    <row r="49" spans="1:5" x14ac:dyDescent="0.25">
      <c r="A49" s="4" t="s">
        <v>24</v>
      </c>
      <c r="B49" s="20"/>
      <c r="C49" s="20"/>
      <c r="D49" s="20"/>
      <c r="E49" s="7">
        <f>SUM(B49:D49)</f>
        <v>0</v>
      </c>
    </row>
    <row r="50" spans="1:5" x14ac:dyDescent="0.25">
      <c r="A50" s="2" t="s">
        <v>25</v>
      </c>
      <c r="B50" s="6">
        <f>SUM(B46:B49)</f>
        <v>12.15</v>
      </c>
      <c r="C50" s="6">
        <f>SUM(C46:C49)</f>
        <v>11960.72</v>
      </c>
      <c r="D50" s="6">
        <f>SUM(D46:D49)</f>
        <v>86.65</v>
      </c>
      <c r="E50" s="7">
        <f>SUM(B50:D50)</f>
        <v>12059.519999999999</v>
      </c>
    </row>
    <row r="51" spans="1:5" x14ac:dyDescent="0.25">
      <c r="E51" s="7"/>
    </row>
    <row r="52" spans="1:5" x14ac:dyDescent="0.25">
      <c r="A52" s="3" t="s">
        <v>26</v>
      </c>
      <c r="E52" s="7"/>
    </row>
    <row r="53" spans="1:5" x14ac:dyDescent="0.25">
      <c r="A53" s="4" t="s">
        <v>27</v>
      </c>
      <c r="B53" s="20"/>
      <c r="C53" s="20"/>
      <c r="D53" s="20"/>
      <c r="E53" s="7">
        <f t="shared" ref="E53:E59" si="2">SUM(B53:D53)</f>
        <v>0</v>
      </c>
    </row>
    <row r="54" spans="1:5" x14ac:dyDescent="0.25">
      <c r="A54" s="4" t="s">
        <v>28</v>
      </c>
      <c r="B54" s="20"/>
      <c r="C54" s="20"/>
      <c r="D54" s="20"/>
      <c r="E54" s="7">
        <f t="shared" si="2"/>
        <v>0</v>
      </c>
    </row>
    <row r="55" spans="1:5" x14ac:dyDescent="0.25">
      <c r="A55" s="4" t="s">
        <v>29</v>
      </c>
      <c r="B55" s="20"/>
      <c r="C55" s="20"/>
      <c r="D55" s="20"/>
      <c r="E55" s="7">
        <f t="shared" si="2"/>
        <v>0</v>
      </c>
    </row>
    <row r="56" spans="1:5" x14ac:dyDescent="0.25">
      <c r="A56" s="4" t="s">
        <v>30</v>
      </c>
      <c r="B56" s="20"/>
      <c r="C56" s="20"/>
      <c r="D56" s="20"/>
      <c r="E56" s="7">
        <f t="shared" si="2"/>
        <v>0</v>
      </c>
    </row>
    <row r="57" spans="1:5" x14ac:dyDescent="0.25">
      <c r="A57" s="4" t="s">
        <v>31</v>
      </c>
      <c r="B57" s="20"/>
      <c r="C57" s="20"/>
      <c r="D57" s="20"/>
      <c r="E57" s="7">
        <f t="shared" si="2"/>
        <v>0</v>
      </c>
    </row>
    <row r="58" spans="1:5" x14ac:dyDescent="0.25">
      <c r="A58" s="4" t="s">
        <v>62</v>
      </c>
      <c r="B58" s="20"/>
      <c r="C58" s="20"/>
      <c r="D58" s="20"/>
      <c r="E58" s="7">
        <f t="shared" si="2"/>
        <v>0</v>
      </c>
    </row>
    <row r="59" spans="1:5" x14ac:dyDescent="0.25">
      <c r="A59" s="2" t="s">
        <v>32</v>
      </c>
      <c r="B59" s="6">
        <f>SUM(B53:B58)</f>
        <v>0</v>
      </c>
      <c r="C59" s="6">
        <f>SUM(C53:C58)</f>
        <v>0</v>
      </c>
      <c r="D59" s="6">
        <f>SUM(D53:D58)</f>
        <v>0</v>
      </c>
      <c r="E59" s="7">
        <f t="shared" si="2"/>
        <v>0</v>
      </c>
    </row>
    <row r="60" spans="1:5" x14ac:dyDescent="0.25">
      <c r="E60" s="7"/>
    </row>
    <row r="61" spans="1:5" x14ac:dyDescent="0.25">
      <c r="A61" s="2" t="s">
        <v>33</v>
      </c>
      <c r="B61" s="6">
        <f>B50-B59</f>
        <v>12.15</v>
      </c>
      <c r="C61" s="6">
        <f>C50-C59</f>
        <v>11960.72</v>
      </c>
      <c r="D61" s="6">
        <f>D50-D59</f>
        <v>86.65</v>
      </c>
      <c r="E61" s="7">
        <f>SUM(B61:D61)</f>
        <v>12059.519999999999</v>
      </c>
    </row>
    <row r="62" spans="1:5" x14ac:dyDescent="0.25">
      <c r="E62" s="7"/>
    </row>
    <row r="63" spans="1:5" x14ac:dyDescent="0.25">
      <c r="A63" t="s">
        <v>300</v>
      </c>
      <c r="B63" s="20"/>
      <c r="C63" s="20"/>
      <c r="D63" s="20"/>
      <c r="E63" s="7">
        <f>B63+C63+D63</f>
        <v>0</v>
      </c>
    </row>
    <row r="64" spans="1:5" x14ac:dyDescent="0.25">
      <c r="A64" t="s">
        <v>34</v>
      </c>
      <c r="B64" s="20"/>
      <c r="C64" s="20"/>
      <c r="D64" s="20"/>
      <c r="E64" s="7">
        <f>B64+C64+D64</f>
        <v>0</v>
      </c>
    </row>
    <row r="65" spans="1:5" x14ac:dyDescent="0.25">
      <c r="A65" t="s">
        <v>35</v>
      </c>
      <c r="B65" s="20"/>
      <c r="C65" s="20"/>
      <c r="D65" s="20"/>
      <c r="E65" s="7">
        <f>B65+C65+D65</f>
        <v>0</v>
      </c>
    </row>
    <row r="66" spans="1:5" x14ac:dyDescent="0.25">
      <c r="A66" s="2" t="s">
        <v>36</v>
      </c>
      <c r="B66" s="6">
        <f>B63+B64-B65</f>
        <v>0</v>
      </c>
      <c r="C66" s="6">
        <f>C63+C64-C65</f>
        <v>0</v>
      </c>
      <c r="D66" s="6">
        <f>D63+D64-D65</f>
        <v>0</v>
      </c>
      <c r="E66" s="7">
        <f>B66+C66+D66</f>
        <v>0</v>
      </c>
    </row>
    <row r="67" spans="1:5" x14ac:dyDescent="0.25">
      <c r="E67" s="7"/>
    </row>
    <row r="68" spans="1:5" x14ac:dyDescent="0.25">
      <c r="A68" s="2" t="s">
        <v>37</v>
      </c>
      <c r="B68" s="6">
        <f>B61+B66</f>
        <v>12.15</v>
      </c>
      <c r="C68" s="6">
        <f>C61+C66</f>
        <v>11960.72</v>
      </c>
      <c r="D68" s="6">
        <f>D61+D66</f>
        <v>86.65</v>
      </c>
      <c r="E68" s="7">
        <f>SUM(B68:D68)</f>
        <v>12059.519999999999</v>
      </c>
    </row>
    <row r="69" spans="1:5" x14ac:dyDescent="0.25">
      <c r="A69" t="s">
        <v>38</v>
      </c>
      <c r="B69" s="6">
        <f>B70-B68</f>
        <v>5683.21</v>
      </c>
      <c r="C69" s="6">
        <f>C70-C68</f>
        <v>119014.38</v>
      </c>
      <c r="D69" s="6">
        <f>D70-D68</f>
        <v>40127.229999999996</v>
      </c>
      <c r="E69" s="7">
        <f>SUM(B69:D69)</f>
        <v>164824.82</v>
      </c>
    </row>
    <row r="70" spans="1:5" x14ac:dyDescent="0.25">
      <c r="A70" s="2" t="s">
        <v>39</v>
      </c>
      <c r="B70" s="6">
        <f>B41</f>
        <v>5695.36</v>
      </c>
      <c r="C70" s="6">
        <f>C41</f>
        <v>130975.1</v>
      </c>
      <c r="D70" s="6">
        <f>D41</f>
        <v>40213.879999999997</v>
      </c>
      <c r="E70" s="7">
        <f>SUM(B70:D70)</f>
        <v>176884.34</v>
      </c>
    </row>
    <row r="71" spans="1:5" x14ac:dyDescent="0.25">
      <c r="E71" s="7"/>
    </row>
    <row r="72" spans="1:5" x14ac:dyDescent="0.25">
      <c r="E72" s="7"/>
    </row>
  </sheetData>
  <sheetProtection sheet="1" objects="1" scenarios="1"/>
  <customSheetViews>
    <customSheetView guid="{E68B3865-8D72-47E7-BE32-0FF7EB09E889}" scale="90" fitToPage="1" topLeftCell="A41">
      <selection activeCell="A61" sqref="A61"/>
      <pageMargins left="0.7" right="0.7" top="0.75" bottom="0.75" header="0.3" footer="0.3"/>
      <pageSetup scale="65" orientation="portrait" horizontalDpi="1200" r:id="rId1"/>
    </customSheetView>
    <customSheetView guid="{DE6E911D-85BF-467A-AA00-1E84C5349CF7}" scale="90" fitToPage="1" topLeftCell="A41">
      <selection activeCell="A61" sqref="A61"/>
      <pageMargins left="0.7" right="0.7" top="0.75" bottom="0.75" header="0.3" footer="0.3"/>
      <pageSetup scale="65" orientation="portrait" horizontalDpi="1200" r:id="rId2"/>
    </customSheetView>
    <customSheetView guid="{A6F79E61-D6A3-44FD-B4A4-4724DF74349B}" showPageBreaks="1" fitToPage="1">
      <selection activeCell="D10" sqref="D10"/>
      <pageMargins left="0.7" right="0.7" top="0.75" bottom="0.75" header="0.3" footer="0.3"/>
      <pageSetup scale="64" orientation="portrait" horizontalDpi="1200" r:id="rId3"/>
    </customSheetView>
    <customSheetView guid="{D62C3EC3-27D1-41F3-9A4E-06307CA202CE}" showPageBreaks="1" fitToPage="1" showRuler="0" topLeftCell="A13">
      <selection activeCell="F33" sqref="F33"/>
      <pageMargins left="0.7" right="0.7" top="0.75" bottom="0.75" header="0.3" footer="0.3"/>
      <pageSetup scale="83" orientation="portrait" horizontalDpi="1200" r:id="rId4"/>
      <headerFooter alignWithMargins="0"/>
    </customSheetView>
    <customSheetView guid="{EC03C3C8-7E57-47C6-8413-F484E8C46A0C}" showPageBreaks="1" fitToPage="1" topLeftCell="A33">
      <selection activeCell="D33" sqref="D33"/>
      <pageMargins left="0.7" right="0.7" top="0.75" bottom="0.75" header="0.3" footer="0.3"/>
      <pageSetup scale="81" orientation="portrait" horizontalDpi="1200" r:id="rId5"/>
    </customSheetView>
    <customSheetView guid="{2B2709E2-6DF4-4CC4-88D0-056FB306137C}" fitToPage="1">
      <selection activeCell="D48" sqref="D48"/>
      <pageMargins left="0.7" right="0.7" top="0.75" bottom="0.75" header="0.3" footer="0.3"/>
      <pageSetup scale="83" orientation="portrait" horizontalDpi="1200" r:id="rId6"/>
    </customSheetView>
  </customSheetViews>
  <phoneticPr fontId="0" type="noConversion"/>
  <pageMargins left="0.7" right="0.7" top="0.75" bottom="0.75" header="0.3" footer="0.3"/>
  <pageSetup scale="65" orientation="portrait" horizontalDpi="1200" r:id="rId7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0"/>
  <sheetViews>
    <sheetView zoomScale="90" zoomScaleNormal="90" workbookViewId="0">
      <pane xSplit="1" ySplit="5" topLeftCell="B34" activePane="bottomRight" state="frozen"/>
      <selection pane="topRight" activeCell="B1" sqref="B1"/>
      <selection pane="bottomLeft" activeCell="A6" sqref="A6"/>
      <selection pane="bottomRight" activeCell="E47" sqref="E47"/>
    </sheetView>
  </sheetViews>
  <sheetFormatPr defaultRowHeight="15" outlineLevelCol="1" x14ac:dyDescent="0.25"/>
  <cols>
    <col min="1" max="1" width="31" customWidth="1"/>
    <col min="2" max="2" width="14.28515625" style="6" bestFit="1" customWidth="1"/>
    <col min="3" max="3" width="13.85546875" style="6" customWidth="1"/>
    <col min="4" max="4" width="14.28515625" style="6" bestFit="1" customWidth="1"/>
    <col min="5" max="5" width="17.7109375" style="6" customWidth="1" outlineLevel="1"/>
    <col min="6" max="6" width="13.5703125" style="6" bestFit="1" customWidth="1" outlineLevel="1"/>
    <col min="7" max="7" width="14.28515625" style="6" bestFit="1" customWidth="1"/>
    <col min="8" max="8" width="18.28515625" style="6" customWidth="1"/>
    <col min="9" max="10" width="11.85546875" style="6" customWidth="1"/>
    <col min="11" max="11" width="14" style="6" customWidth="1"/>
    <col min="12" max="13" width="11.140625" style="6" bestFit="1" customWidth="1"/>
    <col min="14" max="14" width="9.140625" style="6"/>
    <col min="15" max="15" width="13.5703125" style="6" bestFit="1" customWidth="1"/>
    <col min="16" max="16" width="12.7109375" bestFit="1" customWidth="1"/>
  </cols>
  <sheetData>
    <row r="1" spans="1:15" ht="23.25" x14ac:dyDescent="0.35">
      <c r="A1" s="8" t="s">
        <v>89</v>
      </c>
    </row>
    <row r="2" spans="1:15" x14ac:dyDescent="0.25">
      <c r="A2" t="s">
        <v>1</v>
      </c>
    </row>
    <row r="3" spans="1:15" x14ac:dyDescent="0.25">
      <c r="A3" s="1">
        <f>'Special Purpose '!A3</f>
        <v>43830</v>
      </c>
    </row>
    <row r="4" spans="1:15" x14ac:dyDescent="0.25">
      <c r="A4" s="1"/>
    </row>
    <row r="5" spans="1:15" ht="30" x14ac:dyDescent="0.25">
      <c r="A5" s="1"/>
      <c r="B5" s="7" t="s">
        <v>66</v>
      </c>
      <c r="C5" s="7" t="s">
        <v>47</v>
      </c>
      <c r="D5" s="7" t="s">
        <v>308</v>
      </c>
      <c r="E5" s="7" t="s">
        <v>67</v>
      </c>
      <c r="F5" s="7" t="s">
        <v>47</v>
      </c>
      <c r="G5" s="7" t="s">
        <v>90</v>
      </c>
      <c r="H5" s="7" t="s">
        <v>193</v>
      </c>
      <c r="I5" s="7"/>
      <c r="J5" s="7"/>
      <c r="K5" s="7"/>
      <c r="L5" s="7"/>
      <c r="M5" s="7"/>
      <c r="N5" s="7"/>
      <c r="O5" s="7"/>
    </row>
    <row r="6" spans="1:15" x14ac:dyDescent="0.25">
      <c r="H6" s="7"/>
    </row>
    <row r="7" spans="1:15" x14ac:dyDescent="0.25">
      <c r="A7" s="3" t="s">
        <v>2</v>
      </c>
      <c r="H7" s="7"/>
    </row>
    <row r="8" spans="1:15" x14ac:dyDescent="0.25">
      <c r="A8" s="4" t="s">
        <v>3</v>
      </c>
      <c r="B8" s="20">
        <v>305043.31</v>
      </c>
      <c r="C8" s="20"/>
      <c r="D8" s="25">
        <f t="shared" ref="D8:D13" si="0">B8+C8</f>
        <v>305043.31</v>
      </c>
      <c r="E8" s="181">
        <v>259905.14</v>
      </c>
      <c r="F8" s="20"/>
      <c r="G8" s="49">
        <f>E8+F8</f>
        <v>259905.14</v>
      </c>
      <c r="H8" s="7">
        <f t="shared" ref="H8:H13" si="1">D8+G8</f>
        <v>564948.44999999995</v>
      </c>
    </row>
    <row r="9" spans="1:15" x14ac:dyDescent="0.25">
      <c r="A9" s="4" t="s">
        <v>4</v>
      </c>
      <c r="B9" s="20"/>
      <c r="C9" s="20"/>
      <c r="D9" s="25">
        <f t="shared" si="0"/>
        <v>0</v>
      </c>
      <c r="E9" s="181">
        <v>372561.74</v>
      </c>
      <c r="F9" s="20"/>
      <c r="G9" s="6">
        <f t="shared" ref="G9:G70" si="2">E9+F9</f>
        <v>372561.74</v>
      </c>
      <c r="H9" s="7">
        <f t="shared" si="1"/>
        <v>372561.74</v>
      </c>
    </row>
    <row r="10" spans="1:15" x14ac:dyDescent="0.25">
      <c r="A10" s="4" t="s">
        <v>6</v>
      </c>
      <c r="B10" s="20"/>
      <c r="C10" s="20"/>
      <c r="D10" s="25">
        <f t="shared" si="0"/>
        <v>0</v>
      </c>
      <c r="E10" s="181"/>
      <c r="F10" s="20"/>
      <c r="G10" s="6">
        <f t="shared" si="2"/>
        <v>0</v>
      </c>
      <c r="H10" s="7">
        <f t="shared" si="1"/>
        <v>0</v>
      </c>
    </row>
    <row r="11" spans="1:15" x14ac:dyDescent="0.25">
      <c r="A11" s="4" t="s">
        <v>5</v>
      </c>
      <c r="B11" s="20"/>
      <c r="C11" s="20"/>
      <c r="D11" s="25">
        <f t="shared" si="0"/>
        <v>0</v>
      </c>
      <c r="E11" s="181"/>
      <c r="F11" s="20"/>
      <c r="G11" s="6">
        <f t="shared" si="2"/>
        <v>0</v>
      </c>
      <c r="H11" s="7">
        <f t="shared" si="1"/>
        <v>0</v>
      </c>
    </row>
    <row r="12" spans="1:15" x14ac:dyDescent="0.25">
      <c r="A12" s="4" t="s">
        <v>61</v>
      </c>
      <c r="B12" s="20"/>
      <c r="C12" s="20"/>
      <c r="D12" s="25">
        <f t="shared" si="0"/>
        <v>0</v>
      </c>
      <c r="E12" s="181"/>
      <c r="F12" s="20"/>
      <c r="G12" s="6">
        <f t="shared" si="2"/>
        <v>0</v>
      </c>
      <c r="H12" s="7">
        <f t="shared" si="1"/>
        <v>0</v>
      </c>
    </row>
    <row r="13" spans="1:15" x14ac:dyDescent="0.25">
      <c r="A13" s="2" t="s">
        <v>7</v>
      </c>
      <c r="B13" s="6">
        <f>SUM(B8:B12)</f>
        <v>305043.31</v>
      </c>
      <c r="C13" s="6">
        <f>SUM(C8:C12)</f>
        <v>0</v>
      </c>
      <c r="D13" s="25">
        <f t="shared" si="0"/>
        <v>305043.31</v>
      </c>
      <c r="E13" s="6">
        <f>SUM(E8:E12)</f>
        <v>632466.88</v>
      </c>
      <c r="F13" s="6">
        <f>SUM(F8:F12)</f>
        <v>0</v>
      </c>
      <c r="G13" s="6">
        <f t="shared" si="2"/>
        <v>632466.88</v>
      </c>
      <c r="H13" s="7">
        <f t="shared" si="1"/>
        <v>937510.19</v>
      </c>
    </row>
    <row r="14" spans="1:15" x14ac:dyDescent="0.25">
      <c r="D14" s="25"/>
      <c r="H14" s="7"/>
    </row>
    <row r="15" spans="1:15" x14ac:dyDescent="0.25">
      <c r="A15" s="3" t="s">
        <v>8</v>
      </c>
      <c r="D15" s="25"/>
      <c r="H15" s="7"/>
    </row>
    <row r="16" spans="1:15" x14ac:dyDescent="0.25">
      <c r="A16" s="4" t="s">
        <v>9</v>
      </c>
      <c r="B16" s="20">
        <v>195181.88</v>
      </c>
      <c r="C16" s="20"/>
      <c r="D16" s="25">
        <f>B16+C16</f>
        <v>195181.88</v>
      </c>
      <c r="E16" s="181"/>
      <c r="F16" s="20"/>
      <c r="G16" s="6">
        <f t="shared" si="2"/>
        <v>0</v>
      </c>
      <c r="H16" s="7">
        <f>D16+G16</f>
        <v>195181.88</v>
      </c>
    </row>
    <row r="17" spans="1:8" x14ac:dyDescent="0.25">
      <c r="A17" s="4" t="s">
        <v>10</v>
      </c>
      <c r="B17" s="20">
        <v>21213.919999999998</v>
      </c>
      <c r="C17" s="20"/>
      <c r="D17" s="25">
        <f>B17+C17</f>
        <v>21213.919999999998</v>
      </c>
      <c r="E17" s="181"/>
      <c r="F17" s="20"/>
      <c r="G17" s="6">
        <f t="shared" si="2"/>
        <v>0</v>
      </c>
      <c r="H17" s="7">
        <f>D17+G17</f>
        <v>21213.919999999998</v>
      </c>
    </row>
    <row r="18" spans="1:8" x14ac:dyDescent="0.25">
      <c r="A18" s="4" t="s">
        <v>190</v>
      </c>
      <c r="B18" s="20"/>
      <c r="C18" s="20"/>
      <c r="D18" s="25">
        <f>B18+C18</f>
        <v>0</v>
      </c>
      <c r="E18" s="181"/>
      <c r="F18" s="20"/>
      <c r="G18" s="6">
        <f t="shared" si="2"/>
        <v>0</v>
      </c>
      <c r="H18" s="7">
        <f>D18+G18</f>
        <v>0</v>
      </c>
    </row>
    <row r="19" spans="1:8" x14ac:dyDescent="0.25">
      <c r="A19" s="4" t="s">
        <v>12</v>
      </c>
      <c r="B19" s="20"/>
      <c r="C19" s="20"/>
      <c r="D19" s="25">
        <f>B19+C19</f>
        <v>0</v>
      </c>
      <c r="E19" s="181">
        <v>632466.88</v>
      </c>
      <c r="F19" s="20"/>
      <c r="G19" s="6">
        <f t="shared" si="2"/>
        <v>632466.88</v>
      </c>
      <c r="H19" s="7">
        <f>D19+G19</f>
        <v>632466.88</v>
      </c>
    </row>
    <row r="20" spans="1:8" x14ac:dyDescent="0.25">
      <c r="A20" s="2" t="s">
        <v>13</v>
      </c>
      <c r="B20" s="6">
        <f>SUM(B16:B19)</f>
        <v>216395.8</v>
      </c>
      <c r="C20" s="6">
        <f>SUM(C16:C19)</f>
        <v>0</v>
      </c>
      <c r="D20" s="6">
        <f>SUM(D16:D19)</f>
        <v>216395.8</v>
      </c>
      <c r="E20" s="6">
        <f>SUM(E16:E19)</f>
        <v>632466.88</v>
      </c>
      <c r="F20" s="6">
        <f>SUM(F16:F19)</f>
        <v>0</v>
      </c>
      <c r="G20" s="6">
        <f t="shared" si="2"/>
        <v>632466.88</v>
      </c>
      <c r="H20" s="7">
        <f>D20+G20</f>
        <v>848862.67999999993</v>
      </c>
    </row>
    <row r="21" spans="1:8" x14ac:dyDescent="0.25">
      <c r="D21" s="25"/>
      <c r="H21" s="7"/>
    </row>
    <row r="22" spans="1:8" x14ac:dyDescent="0.25">
      <c r="A22" s="3" t="s">
        <v>14</v>
      </c>
      <c r="D22" s="25"/>
      <c r="H22" s="7"/>
    </row>
    <row r="23" spans="1:8" x14ac:dyDescent="0.25">
      <c r="A23" s="78" t="s">
        <v>370</v>
      </c>
      <c r="B23" s="80"/>
      <c r="C23" s="80"/>
      <c r="D23" s="56">
        <f>B23+C23</f>
        <v>0</v>
      </c>
      <c r="E23" s="76"/>
      <c r="F23" s="55"/>
      <c r="G23" s="6">
        <f t="shared" si="2"/>
        <v>0</v>
      </c>
      <c r="H23" s="7">
        <f>D23+G23</f>
        <v>0</v>
      </c>
    </row>
    <row r="24" spans="1:8" x14ac:dyDescent="0.25">
      <c r="A24" s="77" t="s">
        <v>369</v>
      </c>
      <c r="B24" s="80"/>
      <c r="C24" s="80"/>
      <c r="D24" s="56">
        <f t="shared" ref="D24:D40" si="3">B24+C24</f>
        <v>0</v>
      </c>
      <c r="E24" s="76"/>
      <c r="F24" s="55"/>
      <c r="G24" s="6">
        <f t="shared" si="2"/>
        <v>0</v>
      </c>
      <c r="H24" s="7">
        <f t="shared" ref="H24:H40" si="4">D24+G24</f>
        <v>0</v>
      </c>
    </row>
    <row r="25" spans="1:8" x14ac:dyDescent="0.25">
      <c r="A25" s="77" t="s">
        <v>31</v>
      </c>
      <c r="B25" s="80"/>
      <c r="C25" s="80"/>
      <c r="D25" s="56">
        <f t="shared" si="3"/>
        <v>0</v>
      </c>
      <c r="E25" s="76"/>
      <c r="F25" s="55"/>
      <c r="G25" s="6">
        <f t="shared" si="2"/>
        <v>0</v>
      </c>
      <c r="H25" s="7">
        <f t="shared" si="4"/>
        <v>0</v>
      </c>
    </row>
    <row r="26" spans="1:8" x14ac:dyDescent="0.25">
      <c r="A26" s="77" t="s">
        <v>333</v>
      </c>
      <c r="B26" s="80"/>
      <c r="C26" s="80"/>
      <c r="D26" s="56">
        <f t="shared" si="3"/>
        <v>0</v>
      </c>
      <c r="E26" s="76"/>
      <c r="F26" s="55"/>
      <c r="G26" s="6">
        <f t="shared" si="2"/>
        <v>0</v>
      </c>
      <c r="H26" s="7">
        <f t="shared" si="4"/>
        <v>0</v>
      </c>
    </row>
    <row r="27" spans="1:8" x14ac:dyDescent="0.25">
      <c r="A27" s="77" t="s">
        <v>334</v>
      </c>
      <c r="B27" s="80"/>
      <c r="C27" s="80"/>
      <c r="D27" s="56">
        <f t="shared" si="3"/>
        <v>0</v>
      </c>
      <c r="E27" s="76"/>
      <c r="F27" s="55"/>
      <c r="G27" s="6">
        <f t="shared" si="2"/>
        <v>0</v>
      </c>
      <c r="H27" s="7">
        <f t="shared" si="4"/>
        <v>0</v>
      </c>
    </row>
    <row r="28" spans="1:8" x14ac:dyDescent="0.25">
      <c r="A28" s="77" t="s">
        <v>335</v>
      </c>
      <c r="B28" s="80"/>
      <c r="C28" s="80"/>
      <c r="D28" s="56">
        <f t="shared" si="3"/>
        <v>0</v>
      </c>
      <c r="E28" s="76"/>
      <c r="F28" s="55"/>
      <c r="G28" s="6">
        <f t="shared" si="2"/>
        <v>0</v>
      </c>
      <c r="H28" s="7">
        <f t="shared" si="4"/>
        <v>0</v>
      </c>
    </row>
    <row r="29" spans="1:8" x14ac:dyDescent="0.25">
      <c r="A29" s="77" t="s">
        <v>336</v>
      </c>
      <c r="B29" s="80"/>
      <c r="C29" s="80"/>
      <c r="D29" s="56">
        <f t="shared" si="3"/>
        <v>0</v>
      </c>
      <c r="E29" s="76"/>
      <c r="F29" s="55"/>
      <c r="G29" s="6">
        <f t="shared" si="2"/>
        <v>0</v>
      </c>
      <c r="H29" s="7">
        <f t="shared" si="4"/>
        <v>0</v>
      </c>
    </row>
    <row r="30" spans="1:8" x14ac:dyDescent="0.25">
      <c r="A30" s="77" t="s">
        <v>337</v>
      </c>
      <c r="B30" s="80"/>
      <c r="C30" s="80"/>
      <c r="D30" s="56">
        <f t="shared" si="3"/>
        <v>0</v>
      </c>
      <c r="E30" s="76"/>
      <c r="F30" s="55"/>
      <c r="G30" s="6">
        <f t="shared" si="2"/>
        <v>0</v>
      </c>
      <c r="H30" s="7">
        <f t="shared" si="4"/>
        <v>0</v>
      </c>
    </row>
    <row r="31" spans="1:8" x14ac:dyDescent="0.25">
      <c r="A31" s="77" t="s">
        <v>362</v>
      </c>
      <c r="B31" s="80"/>
      <c r="C31" s="80"/>
      <c r="D31" s="56">
        <f t="shared" si="3"/>
        <v>0</v>
      </c>
      <c r="E31" s="76"/>
      <c r="F31" s="55"/>
      <c r="G31" s="6">
        <f t="shared" si="2"/>
        <v>0</v>
      </c>
      <c r="H31" s="7">
        <f t="shared" si="4"/>
        <v>0</v>
      </c>
    </row>
    <row r="32" spans="1:8" x14ac:dyDescent="0.25">
      <c r="A32" s="77" t="s">
        <v>339</v>
      </c>
      <c r="B32" s="80"/>
      <c r="C32" s="80"/>
      <c r="D32" s="56">
        <f t="shared" si="3"/>
        <v>0</v>
      </c>
      <c r="E32" s="76"/>
      <c r="F32" s="55"/>
      <c r="G32" s="6">
        <f t="shared" si="2"/>
        <v>0</v>
      </c>
      <c r="H32" s="7">
        <f t="shared" si="4"/>
        <v>0</v>
      </c>
    </row>
    <row r="33" spans="1:8" x14ac:dyDescent="0.25">
      <c r="A33" s="77" t="s">
        <v>363</v>
      </c>
      <c r="B33" s="80"/>
      <c r="C33" s="80"/>
      <c r="D33" s="56">
        <f t="shared" si="3"/>
        <v>0</v>
      </c>
      <c r="E33" s="76"/>
      <c r="F33" s="55"/>
      <c r="G33" s="6">
        <f t="shared" si="2"/>
        <v>0</v>
      </c>
      <c r="H33" s="7">
        <f t="shared" si="4"/>
        <v>0</v>
      </c>
    </row>
    <row r="34" spans="1:8" x14ac:dyDescent="0.25">
      <c r="A34" s="77" t="s">
        <v>364</v>
      </c>
      <c r="B34" s="137"/>
      <c r="C34" s="80"/>
      <c r="D34" s="56">
        <f t="shared" si="3"/>
        <v>0</v>
      </c>
      <c r="E34" s="76"/>
      <c r="F34" s="55"/>
      <c r="G34" s="6">
        <f t="shared" si="2"/>
        <v>0</v>
      </c>
      <c r="H34" s="7">
        <f t="shared" si="4"/>
        <v>0</v>
      </c>
    </row>
    <row r="35" spans="1:8" x14ac:dyDescent="0.25">
      <c r="A35" s="78" t="s">
        <v>365</v>
      </c>
      <c r="B35" s="55"/>
      <c r="C35" s="55"/>
      <c r="D35" s="56">
        <f t="shared" si="3"/>
        <v>0</v>
      </c>
      <c r="E35" s="76"/>
      <c r="F35" s="55"/>
      <c r="G35" s="6">
        <f t="shared" si="2"/>
        <v>0</v>
      </c>
      <c r="H35" s="7">
        <f t="shared" si="4"/>
        <v>0</v>
      </c>
    </row>
    <row r="36" spans="1:8" x14ac:dyDescent="0.25">
      <c r="A36" s="77" t="s">
        <v>371</v>
      </c>
      <c r="B36" s="55"/>
      <c r="C36" s="55"/>
      <c r="D36" s="56">
        <f t="shared" si="3"/>
        <v>0</v>
      </c>
      <c r="E36" s="76"/>
      <c r="F36" s="55"/>
      <c r="G36" s="6">
        <f t="shared" si="2"/>
        <v>0</v>
      </c>
      <c r="H36" s="7">
        <f t="shared" si="4"/>
        <v>0</v>
      </c>
    </row>
    <row r="37" spans="1:8" x14ac:dyDescent="0.25">
      <c r="A37" s="77" t="s">
        <v>366</v>
      </c>
      <c r="B37" s="55"/>
      <c r="C37" s="55"/>
      <c r="D37" s="56">
        <f t="shared" si="3"/>
        <v>0</v>
      </c>
      <c r="E37" s="76"/>
      <c r="F37" s="55"/>
      <c r="G37" s="6">
        <f t="shared" si="2"/>
        <v>0</v>
      </c>
      <c r="H37" s="7">
        <f t="shared" si="4"/>
        <v>0</v>
      </c>
    </row>
    <row r="38" spans="1:8" x14ac:dyDescent="0.25">
      <c r="A38" s="77" t="s">
        <v>367</v>
      </c>
      <c r="B38" s="55"/>
      <c r="C38" s="55"/>
      <c r="D38" s="56">
        <f t="shared" si="3"/>
        <v>0</v>
      </c>
      <c r="E38" s="76"/>
      <c r="F38" s="55"/>
      <c r="G38" s="6">
        <f t="shared" si="2"/>
        <v>0</v>
      </c>
      <c r="H38" s="7">
        <f t="shared" si="4"/>
        <v>0</v>
      </c>
    </row>
    <row r="39" spans="1:8" x14ac:dyDescent="0.25">
      <c r="A39" s="77" t="s">
        <v>368</v>
      </c>
      <c r="B39" s="55"/>
      <c r="C39" s="55"/>
      <c r="D39" s="56">
        <f t="shared" si="3"/>
        <v>0</v>
      </c>
      <c r="E39" s="76"/>
      <c r="F39" s="55"/>
      <c r="G39" s="6">
        <f t="shared" si="2"/>
        <v>0</v>
      </c>
      <c r="H39" s="7">
        <f t="shared" si="4"/>
        <v>0</v>
      </c>
    </row>
    <row r="40" spans="1:8" x14ac:dyDescent="0.25">
      <c r="A40" s="78" t="s">
        <v>17</v>
      </c>
      <c r="B40" s="20">
        <v>88647.51</v>
      </c>
      <c r="C40" s="20"/>
      <c r="D40" s="56">
        <f t="shared" si="3"/>
        <v>88647.51</v>
      </c>
      <c r="E40" s="181"/>
      <c r="F40" s="20"/>
      <c r="G40" s="6">
        <f t="shared" si="2"/>
        <v>0</v>
      </c>
      <c r="H40" s="7">
        <f t="shared" si="4"/>
        <v>88647.51</v>
      </c>
    </row>
    <row r="41" spans="1:8" x14ac:dyDescent="0.25">
      <c r="A41" s="2" t="s">
        <v>18</v>
      </c>
      <c r="B41" s="6">
        <f>SUM(B23:B40)</f>
        <v>88647.51</v>
      </c>
      <c r="C41" s="6">
        <f>SUM(C23:C40)</f>
        <v>0</v>
      </c>
      <c r="D41" s="56">
        <f>B41+C41</f>
        <v>88647.51</v>
      </c>
      <c r="E41" s="6">
        <f>SUM(E23:E40)</f>
        <v>0</v>
      </c>
      <c r="F41" s="6">
        <f>SUM(F23:F40)</f>
        <v>0</v>
      </c>
      <c r="G41" s="6">
        <f t="shared" si="2"/>
        <v>0</v>
      </c>
      <c r="H41" s="7">
        <f>D41+G41</f>
        <v>88647.51</v>
      </c>
    </row>
    <row r="42" spans="1:8" x14ac:dyDescent="0.25">
      <c r="D42" s="25"/>
      <c r="H42" s="7"/>
    </row>
    <row r="43" spans="1:8" x14ac:dyDescent="0.25">
      <c r="A43" s="2" t="s">
        <v>19</v>
      </c>
      <c r="B43" s="6">
        <f>B20+B41</f>
        <v>305043.31</v>
      </c>
      <c r="C43" s="6">
        <f>C20+C41</f>
        <v>0</v>
      </c>
      <c r="D43" s="6">
        <f>D20+D41</f>
        <v>305043.31</v>
      </c>
      <c r="E43" s="6">
        <f>E20+E41</f>
        <v>632466.88</v>
      </c>
      <c r="F43" s="6">
        <f>F20+F41</f>
        <v>0</v>
      </c>
      <c r="G43" s="6">
        <f t="shared" si="2"/>
        <v>632466.88</v>
      </c>
      <c r="H43" s="7">
        <f>D43+G43</f>
        <v>937510.19</v>
      </c>
    </row>
    <row r="44" spans="1:8" x14ac:dyDescent="0.25">
      <c r="D44" s="25"/>
      <c r="H44" s="7"/>
    </row>
    <row r="45" spans="1:8" x14ac:dyDescent="0.25">
      <c r="A45" s="3" t="s">
        <v>20</v>
      </c>
      <c r="D45" s="25"/>
      <c r="H45" s="7"/>
    </row>
    <row r="46" spans="1:8" x14ac:dyDescent="0.25">
      <c r="A46" s="4" t="s">
        <v>21</v>
      </c>
      <c r="B46" s="20"/>
      <c r="C46" s="20"/>
      <c r="D46" s="25">
        <f>B46+C46</f>
        <v>0</v>
      </c>
      <c r="E46" s="181">
        <v>2722330.84</v>
      </c>
      <c r="F46" s="20"/>
      <c r="G46" s="6">
        <f t="shared" si="2"/>
        <v>2722330.84</v>
      </c>
      <c r="H46" s="7">
        <f>D46+G46</f>
        <v>2722330.84</v>
      </c>
    </row>
    <row r="47" spans="1:8" x14ac:dyDescent="0.25">
      <c r="A47" s="4" t="s">
        <v>22</v>
      </c>
      <c r="B47" s="20"/>
      <c r="C47" s="20"/>
      <c r="D47" s="25">
        <f>B47+C47</f>
        <v>0</v>
      </c>
      <c r="E47" s="181"/>
      <c r="F47" s="20"/>
      <c r="G47" s="6">
        <f t="shared" si="2"/>
        <v>0</v>
      </c>
      <c r="H47" s="7">
        <f>D47+G47</f>
        <v>0</v>
      </c>
    </row>
    <row r="48" spans="1:8" x14ac:dyDescent="0.25">
      <c r="A48" s="4" t="s">
        <v>23</v>
      </c>
      <c r="B48" s="20">
        <v>8.67</v>
      </c>
      <c r="C48" s="20"/>
      <c r="D48" s="25">
        <f>B48+C48</f>
        <v>8.67</v>
      </c>
      <c r="E48" s="181">
        <v>4279.28</v>
      </c>
      <c r="F48" s="20"/>
      <c r="G48" s="6">
        <f t="shared" si="2"/>
        <v>4279.28</v>
      </c>
      <c r="H48" s="7">
        <f>D48+G48</f>
        <v>4287.95</v>
      </c>
    </row>
    <row r="49" spans="1:8" x14ac:dyDescent="0.25">
      <c r="A49" s="4" t="s">
        <v>24</v>
      </c>
      <c r="B49" s="20"/>
      <c r="C49" s="20"/>
      <c r="D49" s="25">
        <f>B49+C49</f>
        <v>0</v>
      </c>
      <c r="E49" s="181"/>
      <c r="F49" s="20"/>
      <c r="G49" s="6">
        <f t="shared" si="2"/>
        <v>0</v>
      </c>
      <c r="H49" s="7">
        <f>D49+G49</f>
        <v>0</v>
      </c>
    </row>
    <row r="50" spans="1:8" x14ac:dyDescent="0.25">
      <c r="A50" s="2" t="s">
        <v>25</v>
      </c>
      <c r="B50" s="6">
        <f>SUM(B46:B49)</f>
        <v>8.67</v>
      </c>
      <c r="C50" s="6">
        <f>SUM(C46:C49)</f>
        <v>0</v>
      </c>
      <c r="D50" s="25">
        <f>B50+C50</f>
        <v>8.67</v>
      </c>
      <c r="E50" s="6">
        <f>SUM(E46:E49)</f>
        <v>2726610.1199999996</v>
      </c>
      <c r="F50" s="6">
        <f>SUM(F46:F49)</f>
        <v>0</v>
      </c>
      <c r="G50" s="6">
        <f t="shared" si="2"/>
        <v>2726610.1199999996</v>
      </c>
      <c r="H50" s="7">
        <f>D50+G50</f>
        <v>2726618.7899999996</v>
      </c>
    </row>
    <row r="51" spans="1:8" x14ac:dyDescent="0.25">
      <c r="D51" s="25"/>
      <c r="H51" s="7"/>
    </row>
    <row r="52" spans="1:8" x14ac:dyDescent="0.25">
      <c r="A52" s="3" t="s">
        <v>26</v>
      </c>
      <c r="C52" s="16"/>
      <c r="D52" s="25"/>
      <c r="H52" s="7"/>
    </row>
    <row r="53" spans="1:8" x14ac:dyDescent="0.25">
      <c r="A53" s="4" t="s">
        <v>27</v>
      </c>
      <c r="B53" s="55"/>
      <c r="C53" s="20"/>
      <c r="D53" s="25">
        <f>B53+C53</f>
        <v>0</v>
      </c>
      <c r="E53" s="76"/>
      <c r="F53" s="20"/>
      <c r="G53" s="6">
        <f t="shared" si="2"/>
        <v>0</v>
      </c>
      <c r="H53" s="7">
        <f>D53+G53</f>
        <v>0</v>
      </c>
    </row>
    <row r="54" spans="1:8" x14ac:dyDescent="0.25">
      <c r="A54" s="4" t="s">
        <v>28</v>
      </c>
      <c r="B54" s="55"/>
      <c r="C54" s="20"/>
      <c r="D54" s="25">
        <f t="shared" ref="D54:D59" si="5">B54+C54</f>
        <v>0</v>
      </c>
      <c r="E54" s="76"/>
      <c r="F54" s="20"/>
      <c r="G54" s="6">
        <f t="shared" si="2"/>
        <v>0</v>
      </c>
      <c r="H54" s="7">
        <f t="shared" ref="H54:H59" si="6">D54+G54</f>
        <v>0</v>
      </c>
    </row>
    <row r="55" spans="1:8" x14ac:dyDescent="0.25">
      <c r="A55" s="4" t="s">
        <v>29</v>
      </c>
      <c r="B55" s="20">
        <v>2664720.85</v>
      </c>
      <c r="C55" s="20">
        <v>-57</v>
      </c>
      <c r="D55" s="25">
        <f t="shared" si="5"/>
        <v>2664663.85</v>
      </c>
      <c r="E55" s="181"/>
      <c r="F55" s="20"/>
      <c r="G55" s="6">
        <f t="shared" si="2"/>
        <v>0</v>
      </c>
      <c r="H55" s="7">
        <f t="shared" si="6"/>
        <v>2664663.85</v>
      </c>
    </row>
    <row r="56" spans="1:8" x14ac:dyDescent="0.25">
      <c r="A56" s="4" t="s">
        <v>30</v>
      </c>
      <c r="B56" s="55"/>
      <c r="C56" s="20"/>
      <c r="D56" s="25">
        <f t="shared" si="5"/>
        <v>0</v>
      </c>
      <c r="E56" s="76"/>
      <c r="F56" s="20"/>
      <c r="G56" s="6">
        <f t="shared" si="2"/>
        <v>0</v>
      </c>
      <c r="H56" s="7">
        <f t="shared" si="6"/>
        <v>0</v>
      </c>
    </row>
    <row r="57" spans="1:8" x14ac:dyDescent="0.25">
      <c r="A57" s="4" t="s">
        <v>31</v>
      </c>
      <c r="B57" s="55"/>
      <c r="C57" s="20"/>
      <c r="D57" s="25">
        <f t="shared" si="5"/>
        <v>0</v>
      </c>
      <c r="E57" s="76"/>
      <c r="F57" s="20"/>
      <c r="G57" s="6">
        <f t="shared" si="2"/>
        <v>0</v>
      </c>
      <c r="H57" s="7">
        <f t="shared" si="6"/>
        <v>0</v>
      </c>
    </row>
    <row r="58" spans="1:8" x14ac:dyDescent="0.25">
      <c r="A58" s="4" t="s">
        <v>62</v>
      </c>
      <c r="B58" s="55"/>
      <c r="C58" s="20"/>
      <c r="D58" s="25">
        <f t="shared" si="5"/>
        <v>0</v>
      </c>
      <c r="E58" s="76"/>
      <c r="F58" s="20"/>
      <c r="G58" s="6">
        <f t="shared" si="2"/>
        <v>0</v>
      </c>
      <c r="H58" s="7">
        <f t="shared" si="6"/>
        <v>0</v>
      </c>
    </row>
    <row r="59" spans="1:8" x14ac:dyDescent="0.25">
      <c r="A59" s="2" t="s">
        <v>32</v>
      </c>
      <c r="B59" s="6">
        <f>SUM(B53:B58)</f>
        <v>2664720.85</v>
      </c>
      <c r="C59" s="6">
        <f>SUM(C53:C58)</f>
        <v>-57</v>
      </c>
      <c r="D59" s="25">
        <f t="shared" si="5"/>
        <v>2664663.85</v>
      </c>
      <c r="E59" s="6">
        <f>SUM(E53:E58)</f>
        <v>0</v>
      </c>
      <c r="F59" s="6">
        <f>SUM(F53:F58)</f>
        <v>0</v>
      </c>
      <c r="G59" s="6">
        <f t="shared" si="2"/>
        <v>0</v>
      </c>
      <c r="H59" s="7">
        <f t="shared" si="6"/>
        <v>2664663.85</v>
      </c>
    </row>
    <row r="60" spans="1:8" x14ac:dyDescent="0.25">
      <c r="D60" s="25"/>
      <c r="H60" s="7"/>
    </row>
    <row r="61" spans="1:8" x14ac:dyDescent="0.25">
      <c r="A61" s="2" t="s">
        <v>33</v>
      </c>
      <c r="B61" s="6">
        <f>B50-B59</f>
        <v>-2664712.1800000002</v>
      </c>
      <c r="C61" s="6">
        <f>C50-C59</f>
        <v>57</v>
      </c>
      <c r="D61" s="6">
        <f>D50-D59</f>
        <v>-2664655.1800000002</v>
      </c>
      <c r="E61" s="6">
        <f>E50-E59</f>
        <v>2726610.1199999996</v>
      </c>
      <c r="F61" s="6">
        <f>F50-F59</f>
        <v>0</v>
      </c>
      <c r="G61" s="6">
        <f t="shared" si="2"/>
        <v>2726610.1199999996</v>
      </c>
      <c r="H61" s="7">
        <f>D61+G61</f>
        <v>61954.939999999478</v>
      </c>
    </row>
    <row r="62" spans="1:8" x14ac:dyDescent="0.25">
      <c r="A62" s="2"/>
      <c r="D62" s="25"/>
      <c r="H62" s="7"/>
    </row>
    <row r="63" spans="1:8" x14ac:dyDescent="0.25">
      <c r="A63" s="36" t="s">
        <v>300</v>
      </c>
      <c r="B63" s="20"/>
      <c r="C63" s="20"/>
      <c r="D63" s="25">
        <f>B63+C63</f>
        <v>0</v>
      </c>
      <c r="E63" s="181"/>
      <c r="F63" s="20"/>
      <c r="G63" s="6">
        <f t="shared" si="2"/>
        <v>0</v>
      </c>
      <c r="H63" s="7">
        <f>D63+G63</f>
        <v>0</v>
      </c>
    </row>
    <row r="64" spans="1:8" x14ac:dyDescent="0.25">
      <c r="A64" t="s">
        <v>34</v>
      </c>
      <c r="B64" s="20">
        <v>2726610.12</v>
      </c>
      <c r="C64" s="20"/>
      <c r="D64" s="25">
        <f>B64+C64</f>
        <v>2726610.12</v>
      </c>
      <c r="E64" s="181"/>
      <c r="F64" s="20"/>
      <c r="G64" s="6">
        <f t="shared" si="2"/>
        <v>0</v>
      </c>
      <c r="H64" s="7">
        <f>D64+G64</f>
        <v>2726610.12</v>
      </c>
    </row>
    <row r="65" spans="1:8" x14ac:dyDescent="0.25">
      <c r="A65" t="s">
        <v>35</v>
      </c>
      <c r="B65" s="20"/>
      <c r="C65" s="20"/>
      <c r="D65" s="25">
        <f>B65+C65</f>
        <v>0</v>
      </c>
      <c r="E65" s="181">
        <v>2726610.12</v>
      </c>
      <c r="F65" s="20"/>
      <c r="G65" s="6">
        <f t="shared" si="2"/>
        <v>2726610.12</v>
      </c>
      <c r="H65" s="7">
        <f>D65+G65</f>
        <v>2726610.12</v>
      </c>
    </row>
    <row r="66" spans="1:8" x14ac:dyDescent="0.25">
      <c r="A66" s="2" t="s">
        <v>36</v>
      </c>
      <c r="B66" s="6">
        <f>B63+B64-B65</f>
        <v>2726610.12</v>
      </c>
      <c r="C66" s="6">
        <f>C63+C64-C65</f>
        <v>0</v>
      </c>
      <c r="D66" s="25">
        <f>B66+C66</f>
        <v>2726610.12</v>
      </c>
      <c r="E66" s="6">
        <f>E63+E64-E65</f>
        <v>-2726610.12</v>
      </c>
      <c r="F66" s="6">
        <f>F63+F64-F65</f>
        <v>0</v>
      </c>
      <c r="G66" s="6">
        <f t="shared" si="2"/>
        <v>-2726610.12</v>
      </c>
      <c r="H66" s="7">
        <f>D66+G66</f>
        <v>0</v>
      </c>
    </row>
    <row r="67" spans="1:8" x14ac:dyDescent="0.25">
      <c r="D67" s="25"/>
      <c r="H67" s="7"/>
    </row>
    <row r="68" spans="1:8" x14ac:dyDescent="0.25">
      <c r="A68" s="2" t="s">
        <v>37</v>
      </c>
      <c r="B68" s="6">
        <f>B61+B66</f>
        <v>61897.939999999944</v>
      </c>
      <c r="C68" s="6">
        <f>C61+C66</f>
        <v>57</v>
      </c>
      <c r="D68" s="6">
        <f>D61+D66</f>
        <v>61954.939999999944</v>
      </c>
      <c r="E68" s="6">
        <f>E61+E66</f>
        <v>0</v>
      </c>
      <c r="F68" s="6">
        <f>F61+F66</f>
        <v>0</v>
      </c>
      <c r="G68" s="6">
        <f t="shared" si="2"/>
        <v>0</v>
      </c>
      <c r="H68" s="7">
        <f>D68+G68</f>
        <v>61954.939999999944</v>
      </c>
    </row>
    <row r="69" spans="1:8" x14ac:dyDescent="0.25">
      <c r="A69" t="s">
        <v>38</v>
      </c>
      <c r="B69" s="6">
        <f>B70-B68</f>
        <v>26749.570000000051</v>
      </c>
      <c r="C69" s="6">
        <f>C70-C68</f>
        <v>-57</v>
      </c>
      <c r="D69" s="6">
        <f>D70-D68</f>
        <v>26692.570000000051</v>
      </c>
      <c r="E69" s="6">
        <f>E70-E68</f>
        <v>0</v>
      </c>
      <c r="F69" s="6">
        <f>F70-F68</f>
        <v>0</v>
      </c>
      <c r="G69" s="6">
        <f t="shared" si="2"/>
        <v>0</v>
      </c>
      <c r="H69" s="7">
        <f>D69+G69</f>
        <v>26692.570000000051</v>
      </c>
    </row>
    <row r="70" spans="1:8" x14ac:dyDescent="0.25">
      <c r="A70" s="2" t="s">
        <v>39</v>
      </c>
      <c r="B70" s="6">
        <f>B41</f>
        <v>88647.51</v>
      </c>
      <c r="C70" s="6">
        <f>C41</f>
        <v>0</v>
      </c>
      <c r="D70" s="6">
        <f>D41</f>
        <v>88647.51</v>
      </c>
      <c r="E70" s="6">
        <f>E41</f>
        <v>0</v>
      </c>
      <c r="F70" s="6">
        <f>F41</f>
        <v>0</v>
      </c>
      <c r="G70" s="6">
        <f t="shared" si="2"/>
        <v>0</v>
      </c>
      <c r="H70" s="7">
        <f>D70+G70</f>
        <v>88647.51</v>
      </c>
    </row>
  </sheetData>
  <sheetProtection sheet="1" objects="1" scenarios="1"/>
  <customSheetViews>
    <customSheetView guid="{E68B3865-8D72-47E7-BE32-0FF7EB09E889}" scale="90" fitToPage="1">
      <pane xSplit="1" ySplit="5" topLeftCell="B34" activePane="bottomRight" state="frozen"/>
      <selection pane="bottomRight" activeCell="E47" sqref="E47"/>
      <pageMargins left="0.7" right="0.7" top="0.75" bottom="0.75" header="0.3" footer="0.3"/>
      <pageSetup scale="48" orientation="landscape" r:id="rId1"/>
    </customSheetView>
    <customSheetView guid="{DE6E911D-85BF-467A-AA00-1E84C5349CF7}" scale="90" fitToPage="1">
      <pane xSplit="1" ySplit="5" topLeftCell="B34" activePane="bottomRight" state="frozen"/>
      <selection pane="bottomRight" activeCell="E47" sqref="E47"/>
      <pageMargins left="0.7" right="0.7" top="0.75" bottom="0.75" header="0.3" footer="0.3"/>
      <pageSetup scale="48" orientation="landscape" r:id="rId2"/>
    </customSheetView>
    <customSheetView guid="{A6F79E61-D6A3-44FD-B4A4-4724DF74349B}" showPageBreaks="1" fitToPage="1">
      <pane xSplit="1" ySplit="5" topLeftCell="B21" activePane="bottomRight" state="frozen"/>
      <selection pane="bottomRight" activeCell="B10" sqref="B10"/>
      <pageMargins left="0.7" right="0.7" top="0.75" bottom="0.75" header="0.3" footer="0.3"/>
      <pageSetup scale="48" orientation="landscape" r:id="rId3"/>
    </customSheetView>
    <customSheetView guid="{D62C3EC3-27D1-41F3-9A4E-06307CA202CE}" showPageBreaks="1" fitToPage="1" showRuler="0">
      <pane xSplit="1" ySplit="5" topLeftCell="B6" activePane="bottomRight" state="frozen"/>
      <selection pane="bottomRight" activeCell="F20" sqref="F20"/>
      <pageMargins left="0.7" right="0.7" top="0.75" bottom="0.75" header="0.3" footer="0.3"/>
      <pageSetup scale="62" orientation="landscape" r:id="rId4"/>
      <headerFooter alignWithMargins="0"/>
    </customSheetView>
    <customSheetView guid="{EC03C3C8-7E57-47C6-8413-F484E8C46A0C}" showPageBreaks="1" fitToPage="1">
      <pane xSplit="1" ySplit="5" topLeftCell="B39" activePane="bottomRight" state="frozen"/>
      <selection pane="bottomRight" activeCell="F48" sqref="F48"/>
      <pageMargins left="0.7" right="0.7" top="0.75" bottom="0.75" header="0.3" footer="0.3"/>
      <pageSetup scale="61" orientation="landscape" r:id="rId5"/>
    </customSheetView>
    <customSheetView guid="{2B2709E2-6DF4-4CC4-88D0-056FB306137C}" fitToPage="1">
      <pane xSplit="1" ySplit="5" topLeftCell="B39" activePane="bottomRight" state="frozen"/>
      <selection pane="bottomRight" activeCell="F65" sqref="F65"/>
      <pageMargins left="0.7" right="0.7" top="0.75" bottom="0.75" header="0.3" footer="0.3"/>
      <pageSetup scale="62" orientation="landscape" r:id="rId6"/>
    </customSheetView>
  </customSheetViews>
  <phoneticPr fontId="0" type="noConversion"/>
  <pageMargins left="0.7" right="0.7" top="0.75" bottom="0.75" header="0.3" footer="0.3"/>
  <pageSetup scale="48" orientation="landscape" r:id="rId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3" sqref="A3"/>
    </sheetView>
  </sheetViews>
  <sheetFormatPr defaultRowHeight="15" x14ac:dyDescent="0.25"/>
  <cols>
    <col min="1" max="1" width="15" style="17" customWidth="1"/>
    <col min="2" max="2" width="11.85546875" style="17" customWidth="1"/>
    <col min="3" max="3" width="11.140625" bestFit="1" customWidth="1"/>
  </cols>
  <sheetData>
    <row r="1" spans="1:7" ht="45" x14ac:dyDescent="0.25">
      <c r="A1" s="18" t="s">
        <v>296</v>
      </c>
      <c r="B1" s="18" t="s">
        <v>295</v>
      </c>
      <c r="C1" s="7" t="s">
        <v>80</v>
      </c>
    </row>
    <row r="2" spans="1:7" x14ac:dyDescent="0.25">
      <c r="C2" s="6"/>
    </row>
    <row r="3" spans="1:7" x14ac:dyDescent="0.25">
      <c r="A3" s="20"/>
      <c r="B3" s="20"/>
      <c r="C3" s="20"/>
      <c r="G3" s="60"/>
    </row>
    <row r="4" spans="1:7" x14ac:dyDescent="0.25">
      <c r="A4" s="20"/>
      <c r="B4" s="20"/>
      <c r="C4" s="20"/>
    </row>
    <row r="5" spans="1:7" x14ac:dyDescent="0.25">
      <c r="A5" s="20"/>
      <c r="B5" s="20"/>
      <c r="C5" s="20"/>
    </row>
    <row r="6" spans="1:7" x14ac:dyDescent="0.25">
      <c r="A6" s="20"/>
      <c r="B6" s="20"/>
      <c r="C6" s="20"/>
    </row>
    <row r="7" spans="1:7" x14ac:dyDescent="0.25">
      <c r="A7" s="20"/>
      <c r="B7" s="20"/>
      <c r="C7" s="20"/>
    </row>
    <row r="8" spans="1:7" x14ac:dyDescent="0.25">
      <c r="A8" s="17">
        <f>SUM(A3:A7)</f>
        <v>0</v>
      </c>
      <c r="B8" s="17">
        <f>SUM(B3:B7)</f>
        <v>0</v>
      </c>
      <c r="C8" s="6">
        <f>SUM(C3:C7)</f>
        <v>0</v>
      </c>
    </row>
    <row r="9" spans="1:7" x14ac:dyDescent="0.25">
      <c r="C9" s="6"/>
    </row>
    <row r="10" spans="1:7" x14ac:dyDescent="0.25">
      <c r="A10" s="20"/>
      <c r="B10" s="20"/>
      <c r="C10" s="20"/>
    </row>
    <row r="11" spans="1:7" x14ac:dyDescent="0.25">
      <c r="A11" s="20"/>
      <c r="B11" s="20"/>
      <c r="C11" s="20"/>
    </row>
    <row r="12" spans="1:7" x14ac:dyDescent="0.25">
      <c r="A12" s="20"/>
      <c r="B12" s="20"/>
      <c r="C12" s="20"/>
    </row>
    <row r="13" spans="1:7" x14ac:dyDescent="0.25">
      <c r="A13" s="20"/>
      <c r="B13" s="20"/>
      <c r="C13" s="20"/>
    </row>
    <row r="14" spans="1:7" x14ac:dyDescent="0.25">
      <c r="A14" s="20"/>
      <c r="B14" s="20"/>
      <c r="C14" s="20"/>
    </row>
    <row r="15" spans="1:7" x14ac:dyDescent="0.25">
      <c r="A15" s="17">
        <f>SUM(A10:A14)</f>
        <v>0</v>
      </c>
      <c r="B15" s="17">
        <f>SUM(B10:B14)</f>
        <v>0</v>
      </c>
      <c r="C15" s="6">
        <f>SUM(C10:C14)</f>
        <v>0</v>
      </c>
    </row>
    <row r="16" spans="1:7" x14ac:dyDescent="0.25">
      <c r="C16" s="6"/>
    </row>
    <row r="17" spans="1:3" x14ac:dyDescent="0.25">
      <c r="C17" s="6"/>
    </row>
    <row r="18" spans="1:3" x14ac:dyDescent="0.25">
      <c r="A18" s="20"/>
      <c r="B18" s="20"/>
      <c r="C18" s="20"/>
    </row>
    <row r="19" spans="1:3" x14ac:dyDescent="0.25">
      <c r="A19" s="20"/>
      <c r="B19" s="20"/>
      <c r="C19" s="20"/>
    </row>
    <row r="20" spans="1:3" x14ac:dyDescent="0.25">
      <c r="A20" s="20"/>
      <c r="B20" s="20"/>
      <c r="C20" s="20"/>
    </row>
    <row r="21" spans="1:3" x14ac:dyDescent="0.25">
      <c r="A21" s="17">
        <f>SUM(A18:A20)</f>
        <v>0</v>
      </c>
      <c r="B21" s="17">
        <f>SUM(B18:B20)</f>
        <v>0</v>
      </c>
      <c r="C21" s="6">
        <f>SUM(C18:C20)</f>
        <v>0</v>
      </c>
    </row>
    <row r="22" spans="1:3" x14ac:dyDescent="0.25">
      <c r="C22" s="6"/>
    </row>
    <row r="23" spans="1:3" x14ac:dyDescent="0.25">
      <c r="A23" s="17">
        <f>A15+A21</f>
        <v>0</v>
      </c>
      <c r="B23" s="17">
        <f>B15+B21</f>
        <v>0</v>
      </c>
      <c r="C23" s="6">
        <f>C15+C21</f>
        <v>0</v>
      </c>
    </row>
    <row r="24" spans="1:3" x14ac:dyDescent="0.25">
      <c r="C24" s="6"/>
    </row>
    <row r="25" spans="1:3" x14ac:dyDescent="0.25">
      <c r="A25" s="20"/>
      <c r="B25" s="20"/>
      <c r="C25" s="20"/>
    </row>
    <row r="26" spans="1:3" x14ac:dyDescent="0.25">
      <c r="A26" s="20"/>
      <c r="B26" s="20"/>
      <c r="C26" s="20"/>
    </row>
    <row r="27" spans="1:3" x14ac:dyDescent="0.25">
      <c r="A27" s="20"/>
      <c r="B27" s="20"/>
      <c r="C27" s="20"/>
    </row>
    <row r="28" spans="1:3" x14ac:dyDescent="0.25">
      <c r="A28" s="20"/>
      <c r="B28" s="20"/>
      <c r="C28" s="20"/>
    </row>
    <row r="29" spans="1:3" x14ac:dyDescent="0.25">
      <c r="A29" s="20"/>
      <c r="B29" s="20"/>
      <c r="C29" s="20"/>
    </row>
    <row r="30" spans="1:3" x14ac:dyDescent="0.25">
      <c r="A30" s="17">
        <f>SUM(A25:A29)</f>
        <v>0</v>
      </c>
      <c r="B30" s="17">
        <f>SUM(B25:B29)</f>
        <v>0</v>
      </c>
      <c r="C30" s="6">
        <f>SUM(C25:C29)</f>
        <v>0</v>
      </c>
    </row>
    <row r="31" spans="1:3" x14ac:dyDescent="0.25">
      <c r="C31" s="6"/>
    </row>
    <row r="32" spans="1:3" x14ac:dyDescent="0.25">
      <c r="A32" s="20"/>
      <c r="B32" s="20"/>
      <c r="C32" s="20"/>
    </row>
    <row r="33" spans="1:3" x14ac:dyDescent="0.25">
      <c r="A33" s="20"/>
      <c r="B33" s="20"/>
      <c r="C33" s="20"/>
    </row>
    <row r="34" spans="1:3" x14ac:dyDescent="0.25">
      <c r="A34" s="20"/>
      <c r="B34" s="20"/>
      <c r="C34" s="20"/>
    </row>
    <row r="35" spans="1:3" x14ac:dyDescent="0.25">
      <c r="A35" s="20"/>
      <c r="B35" s="20"/>
      <c r="C35" s="20"/>
    </row>
    <row r="36" spans="1:3" x14ac:dyDescent="0.25">
      <c r="A36" s="20"/>
      <c r="B36" s="20"/>
      <c r="C36" s="20"/>
    </row>
    <row r="37" spans="1:3" x14ac:dyDescent="0.25">
      <c r="A37" s="20"/>
      <c r="B37" s="20"/>
      <c r="C37" s="20"/>
    </row>
    <row r="38" spans="1:3" x14ac:dyDescent="0.25">
      <c r="A38" s="17">
        <f>SUM(A32:A37)</f>
        <v>0</v>
      </c>
      <c r="B38" s="17">
        <f>SUM(B32:B37)</f>
        <v>0</v>
      </c>
      <c r="C38" s="6">
        <f>SUM(C32:C37)</f>
        <v>0</v>
      </c>
    </row>
    <row r="39" spans="1:3" x14ac:dyDescent="0.25">
      <c r="C39" s="6"/>
    </row>
    <row r="40" spans="1:3" x14ac:dyDescent="0.25">
      <c r="A40" s="17">
        <f>A30-A38</f>
        <v>0</v>
      </c>
      <c r="B40" s="17">
        <f>B30-B38</f>
        <v>0</v>
      </c>
      <c r="C40" s="6">
        <f>C30-C38</f>
        <v>0</v>
      </c>
    </row>
    <row r="41" spans="1:3" x14ac:dyDescent="0.25">
      <c r="C41" s="6"/>
    </row>
    <row r="42" spans="1:3" x14ac:dyDescent="0.25">
      <c r="A42" s="20"/>
      <c r="B42" s="20"/>
      <c r="C42" s="20"/>
    </row>
    <row r="43" spans="1:3" x14ac:dyDescent="0.25">
      <c r="A43" s="20"/>
      <c r="B43" s="20"/>
      <c r="C43" s="20"/>
    </row>
    <row r="44" spans="1:3" x14ac:dyDescent="0.25">
      <c r="A44" s="20"/>
      <c r="B44" s="20"/>
      <c r="C44" s="20"/>
    </row>
    <row r="45" spans="1:3" x14ac:dyDescent="0.25">
      <c r="A45" s="17">
        <f>A43-A44</f>
        <v>0</v>
      </c>
      <c r="B45" s="17">
        <f>B43-B44</f>
        <v>0</v>
      </c>
      <c r="C45" s="6">
        <f>C43-C44</f>
        <v>0</v>
      </c>
    </row>
    <row r="46" spans="1:3" x14ac:dyDescent="0.25">
      <c r="C46" s="6"/>
    </row>
    <row r="47" spans="1:3" x14ac:dyDescent="0.25">
      <c r="A47" s="17">
        <f>A40+A45</f>
        <v>0</v>
      </c>
      <c r="B47" s="17">
        <f>B40+B45</f>
        <v>0</v>
      </c>
      <c r="C47" s="6">
        <f>C40+C45</f>
        <v>0</v>
      </c>
    </row>
    <row r="48" spans="1:3" x14ac:dyDescent="0.25">
      <c r="A48" s="17">
        <f>A49-A47</f>
        <v>0</v>
      </c>
      <c r="B48" s="17">
        <f>B49-B47</f>
        <v>0</v>
      </c>
      <c r="C48" s="6">
        <f>C49-C47</f>
        <v>0</v>
      </c>
    </row>
    <row r="49" spans="1:3" x14ac:dyDescent="0.25">
      <c r="A49" s="17">
        <f>A21</f>
        <v>0</v>
      </c>
      <c r="B49" s="17">
        <f>B21</f>
        <v>0</v>
      </c>
      <c r="C49" s="6">
        <f>C21</f>
        <v>0</v>
      </c>
    </row>
  </sheetData>
  <customSheetViews>
    <customSheetView guid="{E68B3865-8D72-47E7-BE32-0FF7EB09E889}" state="hidden">
      <selection activeCell="A3" sqref="A3"/>
      <pageMargins left="0.7" right="0.7" top="0.75" bottom="0.75" header="0.3" footer="0.3"/>
    </customSheetView>
    <customSheetView guid="{DE6E911D-85BF-467A-AA00-1E84C5349CF7}" state="hidden">
      <selection activeCell="A3" sqref="A3"/>
      <pageMargins left="0.7" right="0.7" top="0.75" bottom="0.75" header="0.3" footer="0.3"/>
    </customSheetView>
    <customSheetView guid="{A6F79E61-D6A3-44FD-B4A4-4724DF74349B}" showPageBreaks="1">
      <selection activeCell="A23" sqref="A23"/>
      <pageMargins left="0.7" right="0.7" top="0.75" bottom="0.75" header="0.3" footer="0.3"/>
      <pageSetup orientation="portrait" r:id="rId1"/>
    </customSheetView>
    <customSheetView guid="{2B2709E2-6DF4-4CC4-88D0-056FB306137C}">
      <selection activeCell="A3" sqref="A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zoomScale="60" zoomScaleNormal="60" workbookViewId="0">
      <selection activeCell="A65" sqref="A65"/>
    </sheetView>
  </sheetViews>
  <sheetFormatPr defaultRowHeight="15" x14ac:dyDescent="0.25"/>
  <cols>
    <col min="1" max="1" width="40.5703125" style="9" customWidth="1"/>
    <col min="2" max="2" width="13.85546875" bestFit="1" customWidth="1"/>
    <col min="3" max="3" width="12.7109375" bestFit="1" customWidth="1"/>
    <col min="4" max="4" width="13.85546875" bestFit="1" customWidth="1"/>
    <col min="5" max="5" width="11.140625" bestFit="1" customWidth="1"/>
    <col min="6" max="9" width="12.7109375" bestFit="1" customWidth="1"/>
  </cols>
  <sheetData>
    <row r="1" spans="1:7" x14ac:dyDescent="0.25">
      <c r="A1" s="35" t="s">
        <v>317</v>
      </c>
      <c r="B1" s="111"/>
      <c r="C1" s="111"/>
      <c r="D1" s="111"/>
      <c r="E1" s="110"/>
    </row>
    <row r="2" spans="1:7" x14ac:dyDescent="0.25">
      <c r="A2" s="112" t="s">
        <v>1</v>
      </c>
      <c r="B2" s="111"/>
      <c r="C2" s="111"/>
      <c r="D2" s="111"/>
      <c r="E2" s="110"/>
    </row>
    <row r="3" spans="1:7" x14ac:dyDescent="0.25">
      <c r="A3" s="113">
        <f>'911'!A3</f>
        <v>43830</v>
      </c>
      <c r="B3" s="111"/>
      <c r="C3" s="111"/>
      <c r="D3" s="111"/>
      <c r="E3" s="110"/>
    </row>
    <row r="4" spans="1:7" ht="30" x14ac:dyDescent="0.25">
      <c r="A4" s="194"/>
      <c r="B4" s="7" t="s">
        <v>318</v>
      </c>
      <c r="C4" s="7" t="s">
        <v>47</v>
      </c>
      <c r="D4" s="7" t="s">
        <v>330</v>
      </c>
      <c r="E4" s="110"/>
    </row>
    <row r="5" spans="1:7" x14ac:dyDescent="0.25">
      <c r="A5" s="3" t="s">
        <v>2</v>
      </c>
      <c r="B5" s="111"/>
      <c r="C5" s="111"/>
      <c r="D5" s="7"/>
      <c r="E5" s="110"/>
    </row>
    <row r="6" spans="1:7" x14ac:dyDescent="0.25">
      <c r="A6" s="114" t="s">
        <v>3</v>
      </c>
      <c r="B6" s="195"/>
      <c r="C6" s="195"/>
      <c r="D6" s="7">
        <f t="shared" ref="D6:D11" si="0">SUM(B6:C6)</f>
        <v>0</v>
      </c>
      <c r="E6" s="110"/>
      <c r="G6" s="60"/>
    </row>
    <row r="7" spans="1:7" x14ac:dyDescent="0.25">
      <c r="A7" s="114" t="s">
        <v>319</v>
      </c>
      <c r="B7" s="195"/>
      <c r="C7" s="195"/>
      <c r="D7" s="7">
        <f t="shared" si="0"/>
        <v>0</v>
      </c>
      <c r="E7" s="110"/>
    </row>
    <row r="8" spans="1:7" x14ac:dyDescent="0.25">
      <c r="A8" s="114" t="s">
        <v>320</v>
      </c>
      <c r="B8" s="195"/>
      <c r="C8" s="195"/>
      <c r="D8" s="7">
        <f t="shared" si="0"/>
        <v>0</v>
      </c>
      <c r="E8" s="110"/>
    </row>
    <row r="9" spans="1:7" x14ac:dyDescent="0.25">
      <c r="A9" s="114" t="s">
        <v>321</v>
      </c>
      <c r="B9" s="195"/>
      <c r="C9" s="195"/>
      <c r="D9" s="7">
        <f t="shared" si="0"/>
        <v>0</v>
      </c>
      <c r="E9" s="110"/>
    </row>
    <row r="10" spans="1:7" x14ac:dyDescent="0.25">
      <c r="A10" s="114" t="s">
        <v>322</v>
      </c>
      <c r="B10" s="195"/>
      <c r="C10" s="195"/>
      <c r="D10" s="7">
        <f t="shared" si="0"/>
        <v>0</v>
      </c>
      <c r="E10" s="110"/>
    </row>
    <row r="11" spans="1:7" x14ac:dyDescent="0.25">
      <c r="A11" s="2" t="s">
        <v>7</v>
      </c>
      <c r="B11" s="111">
        <f>SUM(B6:B10)</f>
        <v>0</v>
      </c>
      <c r="C11" s="111">
        <f>SUM(C6:C10)</f>
        <v>0</v>
      </c>
      <c r="D11" s="7">
        <f t="shared" si="0"/>
        <v>0</v>
      </c>
      <c r="E11" s="110"/>
    </row>
    <row r="12" spans="1:7" x14ac:dyDescent="0.25">
      <c r="A12" s="112"/>
      <c r="B12" s="111"/>
      <c r="C12" s="111"/>
      <c r="D12" s="7"/>
      <c r="E12" s="110"/>
    </row>
    <row r="13" spans="1:7" x14ac:dyDescent="0.25">
      <c r="A13" s="3" t="s">
        <v>8</v>
      </c>
      <c r="B13" s="111"/>
      <c r="C13" s="111"/>
      <c r="D13" s="7"/>
      <c r="E13" s="110"/>
    </row>
    <row r="14" spans="1:7" x14ac:dyDescent="0.25">
      <c r="A14" s="114" t="s">
        <v>9</v>
      </c>
      <c r="B14" s="195"/>
      <c r="C14" s="195"/>
      <c r="D14" s="7">
        <f>SUM(B14:C14)</f>
        <v>0</v>
      </c>
      <c r="E14" s="110"/>
    </row>
    <row r="15" spans="1:7" x14ac:dyDescent="0.25">
      <c r="A15" s="114" t="s">
        <v>10</v>
      </c>
      <c r="B15" s="195"/>
      <c r="C15" s="195"/>
      <c r="D15" s="7">
        <f>SUM(B15:C15)</f>
        <v>0</v>
      </c>
      <c r="E15" s="110"/>
    </row>
    <row r="16" spans="1:7" x14ac:dyDescent="0.25">
      <c r="A16" s="114" t="s">
        <v>190</v>
      </c>
      <c r="B16" s="195"/>
      <c r="C16" s="195"/>
      <c r="D16" s="7">
        <f>SUM(B16:C16)</f>
        <v>0</v>
      </c>
      <c r="E16" s="110"/>
    </row>
    <row r="17" spans="1:5" x14ac:dyDescent="0.25">
      <c r="A17" s="114" t="s">
        <v>12</v>
      </c>
      <c r="B17" s="195"/>
      <c r="C17" s="195"/>
      <c r="D17" s="7">
        <f>SUM(B17:C17)</f>
        <v>0</v>
      </c>
      <c r="E17" s="110"/>
    </row>
    <row r="18" spans="1:5" x14ac:dyDescent="0.25">
      <c r="A18" s="2" t="s">
        <v>13</v>
      </c>
      <c r="B18" s="111">
        <f>SUM(B14:B17)</f>
        <v>0</v>
      </c>
      <c r="C18" s="111">
        <f>SUM(C14:C17)</f>
        <v>0</v>
      </c>
      <c r="D18" s="7">
        <f>SUM(B18:C18)</f>
        <v>0</v>
      </c>
      <c r="E18" s="110"/>
    </row>
    <row r="19" spans="1:5" x14ac:dyDescent="0.25">
      <c r="A19" s="112"/>
      <c r="B19" s="111"/>
      <c r="C19" s="111"/>
      <c r="D19" s="7"/>
      <c r="E19" s="110"/>
    </row>
    <row r="20" spans="1:5" x14ac:dyDescent="0.25">
      <c r="A20" s="3" t="s">
        <v>14</v>
      </c>
      <c r="B20" s="111"/>
      <c r="C20" s="111"/>
      <c r="D20" s="7"/>
      <c r="E20" s="110"/>
    </row>
    <row r="21" spans="1:5" x14ac:dyDescent="0.25">
      <c r="A21" s="114" t="s">
        <v>15</v>
      </c>
      <c r="B21" s="195"/>
      <c r="C21" s="195"/>
      <c r="D21" s="7">
        <f>SUM(B21:C21)</f>
        <v>0</v>
      </c>
      <c r="E21" s="110"/>
    </row>
    <row r="22" spans="1:5" x14ac:dyDescent="0.25">
      <c r="A22" s="114" t="s">
        <v>16</v>
      </c>
      <c r="B22" s="195"/>
      <c r="C22" s="195"/>
      <c r="D22" s="7">
        <f>SUM(B22:C22)</f>
        <v>0</v>
      </c>
      <c r="E22" s="110"/>
    </row>
    <row r="23" spans="1:5" x14ac:dyDescent="0.25">
      <c r="A23" s="114" t="s">
        <v>17</v>
      </c>
      <c r="B23" s="195"/>
      <c r="C23" s="195"/>
      <c r="D23" s="7">
        <f>SUM(B23:C23)</f>
        <v>0</v>
      </c>
      <c r="E23" s="110"/>
    </row>
    <row r="24" spans="1:5" x14ac:dyDescent="0.25">
      <c r="A24" s="2" t="s">
        <v>18</v>
      </c>
      <c r="B24" s="111">
        <f>SUM(B21:B23)</f>
        <v>0</v>
      </c>
      <c r="C24" s="111">
        <f>SUM(C21:C23)</f>
        <v>0</v>
      </c>
      <c r="D24" s="7">
        <f>SUM(B24:C24)</f>
        <v>0</v>
      </c>
      <c r="E24" s="110"/>
    </row>
    <row r="25" spans="1:5" x14ac:dyDescent="0.25">
      <c r="A25" s="112"/>
      <c r="B25" s="111"/>
      <c r="C25" s="111"/>
      <c r="D25" s="7"/>
      <c r="E25" s="110"/>
    </row>
    <row r="26" spans="1:5" x14ac:dyDescent="0.25">
      <c r="A26" s="2" t="s">
        <v>19</v>
      </c>
      <c r="B26" s="111">
        <f>B18+B24</f>
        <v>0</v>
      </c>
      <c r="C26" s="111">
        <f>C18+C24</f>
        <v>0</v>
      </c>
      <c r="D26" s="7">
        <f>SUM(B26:C26)</f>
        <v>0</v>
      </c>
      <c r="E26" s="110"/>
    </row>
    <row r="27" spans="1:5" x14ac:dyDescent="0.25">
      <c r="A27" s="112"/>
      <c r="B27" s="115" t="str">
        <f>IF(B11=B26,"YES","NO")</f>
        <v>YES</v>
      </c>
      <c r="C27" s="115" t="str">
        <f>IF(C11=C26,"YES","NO")</f>
        <v>YES</v>
      </c>
      <c r="D27" s="115" t="str">
        <f>IF(D11=D26,"YES","NO")</f>
        <v>YES</v>
      </c>
      <c r="E27" s="110"/>
    </row>
    <row r="28" spans="1:5" x14ac:dyDescent="0.25">
      <c r="A28" s="3" t="s">
        <v>20</v>
      </c>
      <c r="B28" s="111"/>
      <c r="C28" s="111"/>
      <c r="D28" s="7"/>
      <c r="E28" s="110"/>
    </row>
    <row r="29" spans="1:5" x14ac:dyDescent="0.25">
      <c r="A29" s="114" t="s">
        <v>21</v>
      </c>
      <c r="B29" s="195"/>
      <c r="C29" s="195"/>
      <c r="D29" s="7">
        <f t="shared" ref="D29:D37" si="1">SUM(B29:C29)</f>
        <v>0</v>
      </c>
      <c r="E29" s="110"/>
    </row>
    <row r="30" spans="1:5" x14ac:dyDescent="0.25">
      <c r="A30" s="114" t="s">
        <v>22</v>
      </c>
      <c r="B30" s="195"/>
      <c r="C30" s="195"/>
      <c r="D30" s="7">
        <f t="shared" si="1"/>
        <v>0</v>
      </c>
      <c r="E30" s="110"/>
    </row>
    <row r="31" spans="1:5" x14ac:dyDescent="0.25">
      <c r="A31" s="114" t="s">
        <v>23</v>
      </c>
      <c r="B31" s="195"/>
      <c r="C31" s="195"/>
      <c r="D31" s="7">
        <f t="shared" si="1"/>
        <v>0</v>
      </c>
      <c r="E31" s="110"/>
    </row>
    <row r="32" spans="1:5" x14ac:dyDescent="0.25">
      <c r="A32" s="114" t="s">
        <v>329</v>
      </c>
      <c r="B32" s="195"/>
      <c r="C32" s="195"/>
      <c r="D32" s="7">
        <f t="shared" si="1"/>
        <v>0</v>
      </c>
      <c r="E32" s="110"/>
    </row>
    <row r="33" spans="1:5" x14ac:dyDescent="0.25">
      <c r="A33" s="114" t="s">
        <v>323</v>
      </c>
      <c r="B33" s="195"/>
      <c r="C33" s="195"/>
      <c r="D33" s="7">
        <f t="shared" si="1"/>
        <v>0</v>
      </c>
      <c r="E33" s="110"/>
    </row>
    <row r="34" spans="1:5" x14ac:dyDescent="0.25">
      <c r="A34" s="114" t="s">
        <v>324</v>
      </c>
      <c r="B34" s="195"/>
      <c r="C34" s="195"/>
      <c r="D34" s="7">
        <f t="shared" si="1"/>
        <v>0</v>
      </c>
      <c r="E34" s="110"/>
    </row>
    <row r="35" spans="1:5" x14ac:dyDescent="0.25">
      <c r="A35" s="114" t="s">
        <v>325</v>
      </c>
      <c r="B35" s="195"/>
      <c r="C35" s="195"/>
      <c r="D35" s="7">
        <f t="shared" si="1"/>
        <v>0</v>
      </c>
      <c r="E35" s="110"/>
    </row>
    <row r="36" spans="1:5" x14ac:dyDescent="0.25">
      <c r="A36" s="114" t="s">
        <v>326</v>
      </c>
      <c r="B36" s="195"/>
      <c r="C36" s="195"/>
      <c r="D36" s="7">
        <f t="shared" si="1"/>
        <v>0</v>
      </c>
      <c r="E36" s="110"/>
    </row>
    <row r="37" spans="1:5" x14ac:dyDescent="0.25">
      <c r="A37" s="2" t="s">
        <v>25</v>
      </c>
      <c r="B37" s="111">
        <f>SUM(B29:B36)</f>
        <v>0</v>
      </c>
      <c r="C37" s="111">
        <f>SUM(C29:C36)</f>
        <v>0</v>
      </c>
      <c r="D37" s="7">
        <f t="shared" si="1"/>
        <v>0</v>
      </c>
      <c r="E37" s="110"/>
    </row>
    <row r="38" spans="1:5" x14ac:dyDescent="0.25">
      <c r="A38" s="112"/>
      <c r="B38" s="111"/>
      <c r="C38" s="111"/>
      <c r="D38" s="7"/>
      <c r="E38" s="110"/>
    </row>
    <row r="39" spans="1:5" x14ac:dyDescent="0.25">
      <c r="A39" s="3" t="s">
        <v>26</v>
      </c>
      <c r="B39" s="111"/>
      <c r="C39" s="111"/>
      <c r="D39" s="7"/>
      <c r="E39" s="110"/>
    </row>
    <row r="40" spans="1:5" x14ac:dyDescent="0.25">
      <c r="A40" s="114" t="s">
        <v>327</v>
      </c>
      <c r="B40" s="195"/>
      <c r="C40" s="195"/>
      <c r="D40" s="7">
        <f>SUM(B40:C40)</f>
        <v>0</v>
      </c>
      <c r="E40" s="110"/>
    </row>
    <row r="41" spans="1:5" x14ac:dyDescent="0.25">
      <c r="A41" s="114" t="s">
        <v>328</v>
      </c>
      <c r="B41" s="195"/>
      <c r="C41" s="195"/>
      <c r="D41" s="7">
        <f>SUM(B41:C41)</f>
        <v>0</v>
      </c>
      <c r="E41" s="110"/>
    </row>
    <row r="42" spans="1:5" x14ac:dyDescent="0.25">
      <c r="A42" s="2" t="s">
        <v>32</v>
      </c>
      <c r="B42" s="111">
        <f>SUM(B40:B41)</f>
        <v>0</v>
      </c>
      <c r="C42" s="111">
        <f>SUM(C40:C41)</f>
        <v>0</v>
      </c>
      <c r="D42" s="7">
        <f>SUM(B42:C42)</f>
        <v>0</v>
      </c>
      <c r="E42" s="110"/>
    </row>
    <row r="43" spans="1:5" x14ac:dyDescent="0.25">
      <c r="A43" s="112"/>
      <c r="B43" s="111"/>
      <c r="C43" s="111"/>
      <c r="D43" s="7"/>
      <c r="E43" s="110"/>
    </row>
    <row r="44" spans="1:5" x14ac:dyDescent="0.25">
      <c r="A44" s="2" t="s">
        <v>33</v>
      </c>
      <c r="B44" s="111">
        <f>B37-B42</f>
        <v>0</v>
      </c>
      <c r="C44" s="111">
        <f>C37-C42</f>
        <v>0</v>
      </c>
      <c r="D44" s="7">
        <f>SUM(B44:C44)</f>
        <v>0</v>
      </c>
      <c r="E44" s="110"/>
    </row>
    <row r="45" spans="1:5" x14ac:dyDescent="0.25">
      <c r="A45" s="112"/>
      <c r="B45" s="111"/>
      <c r="C45" s="111"/>
      <c r="D45" s="7"/>
      <c r="E45" s="110"/>
    </row>
    <row r="46" spans="1:5" x14ac:dyDescent="0.25">
      <c r="A46" s="112" t="s">
        <v>300</v>
      </c>
      <c r="B46" s="195"/>
      <c r="C46" s="195"/>
      <c r="D46" s="7">
        <f>B46+C46</f>
        <v>0</v>
      </c>
      <c r="E46" s="110"/>
    </row>
    <row r="47" spans="1:5" x14ac:dyDescent="0.25">
      <c r="A47" s="112" t="s">
        <v>34</v>
      </c>
      <c r="B47" s="195"/>
      <c r="C47" s="195"/>
      <c r="D47" s="7">
        <f>B47+C47</f>
        <v>0</v>
      </c>
      <c r="E47" s="110"/>
    </row>
    <row r="48" spans="1:5" x14ac:dyDescent="0.25">
      <c r="A48" s="112" t="s">
        <v>35</v>
      </c>
      <c r="B48" s="195"/>
      <c r="C48" s="195"/>
      <c r="D48" s="7">
        <f>B48+C48</f>
        <v>0</v>
      </c>
      <c r="E48" s="110"/>
    </row>
    <row r="49" spans="1:7" x14ac:dyDescent="0.25">
      <c r="A49" s="2" t="s">
        <v>36</v>
      </c>
      <c r="B49" s="111">
        <f>B46+B47-B48</f>
        <v>0</v>
      </c>
      <c r="C49" s="111">
        <f>C46+C47-C48</f>
        <v>0</v>
      </c>
      <c r="D49" s="7">
        <f>B49+C49</f>
        <v>0</v>
      </c>
      <c r="E49" s="110"/>
    </row>
    <row r="50" spans="1:7" x14ac:dyDescent="0.25">
      <c r="A50" s="112"/>
      <c r="B50" s="111"/>
      <c r="C50" s="111"/>
      <c r="D50" s="7"/>
      <c r="E50" s="110"/>
    </row>
    <row r="51" spans="1:7" x14ac:dyDescent="0.25">
      <c r="A51" s="2" t="s">
        <v>37</v>
      </c>
      <c r="B51" s="111">
        <f>B44+B49</f>
        <v>0</v>
      </c>
      <c r="C51" s="111">
        <f>C44+C49</f>
        <v>0</v>
      </c>
      <c r="D51" s="7">
        <f>SUM(B51:C51)</f>
        <v>0</v>
      </c>
      <c r="E51" s="110"/>
    </row>
    <row r="52" spans="1:7" x14ac:dyDescent="0.25">
      <c r="A52" s="112" t="s">
        <v>38</v>
      </c>
      <c r="B52" s="111">
        <f>B53-B51</f>
        <v>0</v>
      </c>
      <c r="C52" s="111">
        <f>C53-C51</f>
        <v>0</v>
      </c>
      <c r="D52" s="7">
        <f>SUM(B52:C52)</f>
        <v>0</v>
      </c>
      <c r="E52" s="110"/>
    </row>
    <row r="53" spans="1:7" x14ac:dyDescent="0.25">
      <c r="A53" s="2" t="s">
        <v>39</v>
      </c>
      <c r="B53" s="111">
        <f>B24</f>
        <v>0</v>
      </c>
      <c r="C53" s="111">
        <f>C24</f>
        <v>0</v>
      </c>
      <c r="D53" s="7">
        <f>SUM(B53:C53)</f>
        <v>0</v>
      </c>
      <c r="E53" s="110"/>
    </row>
    <row r="54" spans="1:7" x14ac:dyDescent="0.25">
      <c r="A54"/>
      <c r="B54" s="6"/>
      <c r="C54" s="6"/>
      <c r="D54" s="7"/>
    </row>
    <row r="55" spans="1:7" x14ac:dyDescent="0.25">
      <c r="A55"/>
    </row>
    <row r="56" spans="1:7" x14ac:dyDescent="0.25">
      <c r="A56"/>
    </row>
    <row r="57" spans="1:7" x14ac:dyDescent="0.25">
      <c r="A57"/>
    </row>
    <row r="58" spans="1:7" x14ac:dyDescent="0.25">
      <c r="A58"/>
    </row>
    <row r="59" spans="1:7" x14ac:dyDescent="0.25">
      <c r="A59"/>
    </row>
    <row r="60" spans="1:7" x14ac:dyDescent="0.25">
      <c r="A60"/>
    </row>
    <row r="61" spans="1:7" x14ac:dyDescent="0.25">
      <c r="A61"/>
    </row>
    <row r="62" spans="1:7" x14ac:dyDescent="0.25">
      <c r="A62"/>
    </row>
    <row r="63" spans="1:7" x14ac:dyDescent="0.25">
      <c r="A63"/>
    </row>
    <row r="64" spans="1:7" x14ac:dyDescent="0.25">
      <c r="A64"/>
      <c r="G64" s="6"/>
    </row>
    <row r="65" spans="1:9" x14ac:dyDescent="0.25">
      <c r="A65"/>
    </row>
    <row r="66" spans="1:9" x14ac:dyDescent="0.25">
      <c r="A66"/>
    </row>
    <row r="67" spans="1:9" x14ac:dyDescent="0.25">
      <c r="A67"/>
    </row>
    <row r="68" spans="1:9" x14ac:dyDescent="0.25">
      <c r="A68"/>
    </row>
    <row r="69" spans="1:9" x14ac:dyDescent="0.25">
      <c r="A69"/>
      <c r="H69" s="6"/>
    </row>
    <row r="70" spans="1:9" x14ac:dyDescent="0.25">
      <c r="A70"/>
      <c r="G70" s="9"/>
      <c r="H70" s="6"/>
    </row>
    <row r="71" spans="1:9" x14ac:dyDescent="0.25">
      <c r="A71"/>
      <c r="G71" s="17"/>
    </row>
    <row r="72" spans="1:9" x14ac:dyDescent="0.25">
      <c r="A72"/>
      <c r="G72" s="6"/>
      <c r="H72" s="6"/>
      <c r="I72" s="6"/>
    </row>
    <row r="73" spans="1:9" x14ac:dyDescent="0.25">
      <c r="A73"/>
    </row>
    <row r="74" spans="1:9" x14ac:dyDescent="0.25">
      <c r="A74"/>
      <c r="G74" s="6"/>
    </row>
    <row r="75" spans="1:9" x14ac:dyDescent="0.25">
      <c r="A75"/>
    </row>
    <row r="76" spans="1:9" x14ac:dyDescent="0.25">
      <c r="A76"/>
    </row>
    <row r="77" spans="1:9" x14ac:dyDescent="0.25">
      <c r="A77"/>
    </row>
    <row r="78" spans="1:9" x14ac:dyDescent="0.25">
      <c r="A78"/>
    </row>
    <row r="79" spans="1:9" x14ac:dyDescent="0.25">
      <c r="A79"/>
    </row>
    <row r="80" spans="1:9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</sheetData>
  <sheetProtection sheet="1" objects="1" scenarios="1"/>
  <customSheetViews>
    <customSheetView guid="{E68B3865-8D72-47E7-BE32-0FF7EB09E889}" scale="60">
      <selection activeCell="A65" sqref="A65"/>
      <pageMargins left="0.7" right="0.7" top="0.75" bottom="0.75" header="0.3" footer="0.3"/>
      <pageSetup orientation="portrait" r:id="rId1"/>
    </customSheetView>
    <customSheetView guid="{DE6E911D-85BF-467A-AA00-1E84C5349CF7}" scale="60">
      <selection activeCell="A65" sqref="A65"/>
      <pageMargins left="0.7" right="0.7" top="0.75" bottom="0.75" header="0.3" footer="0.3"/>
      <pageSetup orientation="portrait" r:id="rId2"/>
    </customSheetView>
    <customSheetView guid="{A6F79E61-D6A3-44FD-B4A4-4724DF74349B}" showPageBreaks="1">
      <selection activeCell="B9" sqref="B9"/>
      <pageMargins left="0.7" right="0.7" top="0.75" bottom="0.75" header="0.3" footer="0.3"/>
      <pageSetup orientation="portrait" r:id="rId3"/>
    </customSheetView>
    <customSheetView guid="{2B2709E2-6DF4-4CC4-88D0-056FB306137C}" topLeftCell="A34">
      <selection activeCell="A4" sqref="A4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3</vt:i4>
      </vt:variant>
    </vt:vector>
  </HeadingPairs>
  <TitlesOfParts>
    <vt:vector size="27" baseType="lpstr">
      <vt:lpstr>ALL GOVERNMENT FUNDS</vt:lpstr>
      <vt:lpstr>Front Stmts</vt:lpstr>
      <vt:lpstr>Stmt of Activities - Front</vt:lpstr>
      <vt:lpstr>General Fund</vt:lpstr>
      <vt:lpstr>General Fund - Revenue</vt:lpstr>
      <vt:lpstr>Capital Projects Fund</vt:lpstr>
      <vt:lpstr>Human Services</vt:lpstr>
      <vt:lpstr>Other Government</vt:lpstr>
      <vt:lpstr>AAA Funds</vt:lpstr>
      <vt:lpstr>CYS Funds</vt:lpstr>
      <vt:lpstr>Substance Abuse</vt:lpstr>
      <vt:lpstr>Airport Funds</vt:lpstr>
      <vt:lpstr>RSVP Funds</vt:lpstr>
      <vt:lpstr>Mental Health Funds</vt:lpstr>
      <vt:lpstr>Mental Retardation Funds</vt:lpstr>
      <vt:lpstr>Human Services 1150</vt:lpstr>
      <vt:lpstr>CDBG</vt:lpstr>
      <vt:lpstr>OEO-Weatherization</vt:lpstr>
      <vt:lpstr>OEO-Other</vt:lpstr>
      <vt:lpstr>Transportation Fund</vt:lpstr>
      <vt:lpstr>Special Purpose </vt:lpstr>
      <vt:lpstr>911</vt:lpstr>
      <vt:lpstr>Park Prison Tax Claim</vt:lpstr>
      <vt:lpstr>Pension</vt:lpstr>
      <vt:lpstr>'Front Stmts'!Print_Area</vt:lpstr>
      <vt:lpstr>'ALL GOVERNMENT FUNDS'!Print_Titles</vt:lpstr>
      <vt:lpstr>'Other Government'!Print_Titles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</dc:creator>
  <cp:lastModifiedBy>Heather Mohnkern</cp:lastModifiedBy>
  <cp:lastPrinted>2020-10-12T16:51:07Z</cp:lastPrinted>
  <dcterms:created xsi:type="dcterms:W3CDTF">2008-08-22T20:41:57Z</dcterms:created>
  <dcterms:modified xsi:type="dcterms:W3CDTF">2020-10-26T16:50:33Z</dcterms:modified>
</cp:coreProperties>
</file>